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16785" windowHeight="7320" tabRatio="584" activeTab="1"/>
  </bookViews>
  <sheets>
    <sheet name="$-TBao1" sheetId="88" r:id="rId1"/>
    <sheet name="%-TBao2" sheetId="89" r:id="rId2"/>
  </sheets>
  <externalReferences>
    <externalReference r:id="rId3"/>
    <externalReference r:id="rId4"/>
    <externalReference r:id="rId5"/>
  </externalReferences>
  <definedNames>
    <definedName name="_xlnm._FilterDatabase" localSheetId="0" hidden="1">'$-TBao1'!$A$37:$EF$41</definedName>
    <definedName name="_xlnm._FilterDatabase" localSheetId="1" hidden="1">'%-TBao2'!$A$16:$ER$51</definedName>
    <definedName name="_xlnm.Print_Area" localSheetId="0">'$-TBao1'!$B$1:$FO$72</definedName>
    <definedName name="_xlnm.Print_Titles" localSheetId="0">'$-TBao1'!$11:$14</definedName>
    <definedName name="_xlnm.Print_Titles" localSheetId="1">'%-TBao2'!$12:$16</definedName>
  </definedNames>
  <calcPr calcId="144525"/>
</workbook>
</file>

<file path=xl/calcChain.xml><?xml version="1.0" encoding="utf-8"?>
<calcChain xmlns="http://schemas.openxmlformats.org/spreadsheetml/2006/main">
  <c r="ED48" i="89" l="1"/>
  <c r="EE48" i="89" s="1"/>
  <c r="DL48" i="89"/>
  <c r="DK48" i="89"/>
  <c r="DG48" i="89"/>
  <c r="DH48" i="89" s="1"/>
  <c r="DF48" i="89"/>
  <c r="DE48" i="89"/>
  <c r="DC48" i="89"/>
  <c r="CV48" i="89"/>
  <c r="CO48" i="89"/>
  <c r="CJ48" i="89"/>
  <c r="CD48" i="89"/>
  <c r="CA48" i="89"/>
  <c r="BZ48" i="89"/>
  <c r="BX48" i="89"/>
  <c r="BO48" i="89"/>
  <c r="BE48" i="89"/>
  <c r="BD48" i="89"/>
  <c r="BC48" i="89"/>
  <c r="AE48" i="89" s="1"/>
  <c r="BB48" i="89"/>
  <c r="AO48" i="89"/>
  <c r="EL48" i="89" s="1"/>
  <c r="AD48" i="89"/>
  <c r="BA48" i="89" s="1"/>
  <c r="Z48" i="89"/>
  <c r="W48" i="89"/>
  <c r="X48" i="89" s="1"/>
  <c r="CI48" i="89" s="1"/>
  <c r="U48" i="89"/>
  <c r="T48" i="89"/>
  <c r="Q48" i="89"/>
  <c r="O48" i="89" s="1"/>
  <c r="M48" i="89"/>
  <c r="D48" i="89"/>
  <c r="ED47" i="89"/>
  <c r="EE47" i="89" s="1"/>
  <c r="DL47" i="89"/>
  <c r="DH47" i="89"/>
  <c r="DG47" i="89"/>
  <c r="DK47" i="89" s="1"/>
  <c r="DF47" i="89"/>
  <c r="CU47" i="89" s="1"/>
  <c r="BY47" i="89" s="1"/>
  <c r="DE47" i="89"/>
  <c r="DC47" i="89"/>
  <c r="CW47" i="89"/>
  <c r="CV47" i="89"/>
  <c r="CZ47" i="89" s="1"/>
  <c r="CO47" i="89"/>
  <c r="CJ47" i="89"/>
  <c r="CD47" i="89"/>
  <c r="CA47" i="89"/>
  <c r="BZ47" i="89"/>
  <c r="BX47" i="89"/>
  <c r="BO47" i="89"/>
  <c r="BE47" i="89"/>
  <c r="BD47" i="89"/>
  <c r="BC47" i="89"/>
  <c r="AE47" i="89" s="1"/>
  <c r="BB47" i="89"/>
  <c r="AO47" i="89"/>
  <c r="Z47" i="89"/>
  <c r="W47" i="89"/>
  <c r="U47" i="89"/>
  <c r="T47" i="89"/>
  <c r="Q47" i="89"/>
  <c r="O47" i="89" s="1"/>
  <c r="M47" i="89"/>
  <c r="D47" i="89"/>
  <c r="ED46" i="89"/>
  <c r="EE46" i="89" s="1"/>
  <c r="DL46" i="89"/>
  <c r="DG46" i="89"/>
  <c r="DH46" i="89" s="1"/>
  <c r="DF46" i="89"/>
  <c r="DE46" i="89"/>
  <c r="DC46" i="89"/>
  <c r="CV46" i="89"/>
  <c r="CX46" i="89" s="1"/>
  <c r="CO46" i="89"/>
  <c r="CJ46" i="89"/>
  <c r="CD46" i="89"/>
  <c r="CA46" i="89"/>
  <c r="BZ46" i="89"/>
  <c r="BX46" i="89"/>
  <c r="BO46" i="89"/>
  <c r="BE46" i="89"/>
  <c r="BD46" i="89"/>
  <c r="BC46" i="89"/>
  <c r="AE46" i="89" s="1"/>
  <c r="BB46" i="89"/>
  <c r="AO46" i="89"/>
  <c r="EL46" i="89" s="1"/>
  <c r="AD46" i="89"/>
  <c r="Z46" i="89"/>
  <c r="W46" i="89"/>
  <c r="X46" i="89" s="1"/>
  <c r="CI46" i="89" s="1"/>
  <c r="U46" i="89"/>
  <c r="T46" i="89"/>
  <c r="Q46" i="89"/>
  <c r="O46" i="89" s="1"/>
  <c r="M46" i="89"/>
  <c r="D46" i="89"/>
  <c r="EE45" i="89"/>
  <c r="ED45" i="89"/>
  <c r="DL45" i="89"/>
  <c r="DJ45" i="89"/>
  <c r="DG45" i="89"/>
  <c r="DF45" i="89"/>
  <c r="DE45" i="89"/>
  <c r="DC45" i="89"/>
  <c r="CV45" i="89"/>
  <c r="CO45" i="89"/>
  <c r="CJ45" i="89"/>
  <c r="CD45" i="89"/>
  <c r="CA45" i="89"/>
  <c r="BZ45" i="89"/>
  <c r="BX45" i="89"/>
  <c r="BO45" i="89"/>
  <c r="BE45" i="89"/>
  <c r="BD45" i="89"/>
  <c r="BC45" i="89"/>
  <c r="BB45" i="89"/>
  <c r="BA45" i="89"/>
  <c r="AE45" i="89"/>
  <c r="AD45" i="89"/>
  <c r="AS45" i="89" s="1"/>
  <c r="AC45" i="89"/>
  <c r="Z45" i="89"/>
  <c r="W45" i="89"/>
  <c r="X45" i="89" s="1"/>
  <c r="CI45" i="89" s="1"/>
  <c r="U45" i="89"/>
  <c r="T45" i="89"/>
  <c r="Q45" i="89"/>
  <c r="O45" i="89"/>
  <c r="M45" i="89"/>
  <c r="D45" i="89"/>
  <c r="ED44" i="89"/>
  <c r="EE44" i="89" s="1"/>
  <c r="DL44" i="89"/>
  <c r="DG44" i="89"/>
  <c r="DH44" i="89" s="1"/>
  <c r="DF44" i="89"/>
  <c r="DE44" i="89"/>
  <c r="DC44" i="89"/>
  <c r="CV44" i="89"/>
  <c r="CO44" i="89"/>
  <c r="CJ44" i="89"/>
  <c r="CD44" i="89"/>
  <c r="CA44" i="89"/>
  <c r="BZ44" i="89"/>
  <c r="BX44" i="89"/>
  <c r="BO44" i="89"/>
  <c r="BE44" i="89"/>
  <c r="BD44" i="89"/>
  <c r="BC44" i="89"/>
  <c r="AE44" i="89" s="1"/>
  <c r="BB44" i="89"/>
  <c r="AO44" i="89"/>
  <c r="AD44" i="89"/>
  <c r="BA44" i="89" s="1"/>
  <c r="Z44" i="89"/>
  <c r="W44" i="89"/>
  <c r="X44" i="89" s="1"/>
  <c r="CI44" i="89" s="1"/>
  <c r="U44" i="89"/>
  <c r="T44" i="89"/>
  <c r="Q44" i="89"/>
  <c r="O44" i="89" s="1"/>
  <c r="M44" i="89"/>
  <c r="D44" i="89"/>
  <c r="EE43" i="89"/>
  <c r="ED43" i="89"/>
  <c r="DL43" i="89"/>
  <c r="DG43" i="89"/>
  <c r="DK43" i="89" s="1"/>
  <c r="DF43" i="89"/>
  <c r="DE43" i="89"/>
  <c r="DC43" i="89"/>
  <c r="CW43" i="89"/>
  <c r="DA43" i="89" s="1"/>
  <c r="CV43" i="89"/>
  <c r="CZ43" i="89" s="1"/>
  <c r="CU43" i="89"/>
  <c r="CO43" i="89"/>
  <c r="CJ43" i="89"/>
  <c r="CD43" i="89"/>
  <c r="CA43" i="89"/>
  <c r="BZ43" i="89"/>
  <c r="BY43" i="89"/>
  <c r="BX43" i="89"/>
  <c r="BO43" i="89"/>
  <c r="BE43" i="89"/>
  <c r="BD43" i="89"/>
  <c r="BC43" i="89"/>
  <c r="BB43" i="89"/>
  <c r="AO43" i="89"/>
  <c r="AE43" i="89"/>
  <c r="Z43" i="89"/>
  <c r="W43" i="89"/>
  <c r="U43" i="89"/>
  <c r="T43" i="89"/>
  <c r="Q43" i="89"/>
  <c r="O43" i="89"/>
  <c r="M43" i="89"/>
  <c r="D43" i="89"/>
  <c r="ED42" i="89"/>
  <c r="EE42" i="89" s="1"/>
  <c r="DL42" i="89"/>
  <c r="DG42" i="89"/>
  <c r="DK42" i="89" s="1"/>
  <c r="DF42" i="89"/>
  <c r="DE42" i="89"/>
  <c r="DC42" i="89"/>
  <c r="CW42" i="89"/>
  <c r="DA42" i="89" s="1"/>
  <c r="CV42" i="89"/>
  <c r="CZ42" i="89" s="1"/>
  <c r="CU42" i="89"/>
  <c r="EM42" i="89" s="1"/>
  <c r="CO42" i="89"/>
  <c r="CJ42" i="89"/>
  <c r="CD42" i="89"/>
  <c r="CA42" i="89"/>
  <c r="BZ42" i="89"/>
  <c r="BY42" i="89"/>
  <c r="BX42" i="89"/>
  <c r="BO42" i="89"/>
  <c r="BE42" i="89"/>
  <c r="BD42" i="89"/>
  <c r="AD42" i="89" s="1"/>
  <c r="BC42" i="89"/>
  <c r="BB42" i="89"/>
  <c r="AO42" i="89"/>
  <c r="AE42" i="89"/>
  <c r="Z42" i="89"/>
  <c r="W42" i="89"/>
  <c r="U42" i="89"/>
  <c r="T42" i="89"/>
  <c r="Q42" i="89"/>
  <c r="O42" i="89" s="1"/>
  <c r="M42" i="89"/>
  <c r="D42" i="89"/>
  <c r="ED41" i="89"/>
  <c r="EE41" i="89" s="1"/>
  <c r="DL41" i="89"/>
  <c r="DG41" i="89"/>
  <c r="DH41" i="89" s="1"/>
  <c r="DF41" i="89"/>
  <c r="DE41" i="89"/>
  <c r="CW41" i="89" s="1"/>
  <c r="DC41" i="89"/>
  <c r="CV41" i="89"/>
  <c r="DA41" i="89" s="1"/>
  <c r="CO41" i="89"/>
  <c r="CJ41" i="89"/>
  <c r="CD41" i="89"/>
  <c r="CA41" i="89"/>
  <c r="BZ41" i="89"/>
  <c r="BX41" i="89"/>
  <c r="BO41" i="89"/>
  <c r="BE41" i="89"/>
  <c r="BD41" i="89"/>
  <c r="BC41" i="89"/>
  <c r="AE41" i="89" s="1"/>
  <c r="BB41" i="89"/>
  <c r="AO41" i="89"/>
  <c r="EL41" i="89" s="1"/>
  <c r="AD41" i="89"/>
  <c r="Z41" i="89"/>
  <c r="W41" i="89"/>
  <c r="X41" i="89" s="1"/>
  <c r="CI41" i="89" s="1"/>
  <c r="U41" i="89"/>
  <c r="T41" i="89"/>
  <c r="Q41" i="89"/>
  <c r="O41" i="89" s="1"/>
  <c r="M41" i="89"/>
  <c r="D41" i="89"/>
  <c r="EE40" i="89"/>
  <c r="ED40" i="89"/>
  <c r="DL40" i="89"/>
  <c r="DG40" i="89"/>
  <c r="DK40" i="89" s="1"/>
  <c r="DF40" i="89"/>
  <c r="DE40" i="89"/>
  <c r="DC40" i="89"/>
  <c r="CW40" i="89"/>
  <c r="DA40" i="89" s="1"/>
  <c r="CV40" i="89"/>
  <c r="CZ40" i="89" s="1"/>
  <c r="CU40" i="89"/>
  <c r="CO40" i="89"/>
  <c r="CJ40" i="89"/>
  <c r="CD40" i="89"/>
  <c r="CA40" i="89"/>
  <c r="BZ40" i="89"/>
  <c r="BY40" i="89"/>
  <c r="BX40" i="89"/>
  <c r="BO40" i="89"/>
  <c r="BE40" i="89"/>
  <c r="BD40" i="89"/>
  <c r="EL40" i="89" s="1"/>
  <c r="BC40" i="89"/>
  <c r="BB40" i="89"/>
  <c r="AO40" i="89"/>
  <c r="AE40" i="89"/>
  <c r="Z40" i="89"/>
  <c r="W40" i="89"/>
  <c r="X40" i="89" s="1"/>
  <c r="CI40" i="89" s="1"/>
  <c r="U40" i="89"/>
  <c r="T40" i="89"/>
  <c r="Q40" i="89"/>
  <c r="O40" i="89" s="1"/>
  <c r="M40" i="89"/>
  <c r="D40" i="89"/>
  <c r="ED39" i="89"/>
  <c r="EE39" i="89" s="1"/>
  <c r="DL39" i="89"/>
  <c r="DG39" i="89"/>
  <c r="DH39" i="89" s="1"/>
  <c r="DF39" i="89"/>
  <c r="DE39" i="89"/>
  <c r="CW39" i="89" s="1"/>
  <c r="DC39" i="89"/>
  <c r="CV39" i="89"/>
  <c r="DA39" i="89" s="1"/>
  <c r="CO39" i="89"/>
  <c r="CJ39" i="89"/>
  <c r="CD39" i="89"/>
  <c r="CA39" i="89"/>
  <c r="BZ39" i="89"/>
  <c r="BX39" i="89"/>
  <c r="BO39" i="89"/>
  <c r="BE39" i="89"/>
  <c r="BD39" i="89"/>
  <c r="BC39" i="89"/>
  <c r="AE39" i="89" s="1"/>
  <c r="BB39" i="89"/>
  <c r="AO39" i="89"/>
  <c r="EL39" i="89" s="1"/>
  <c r="AD39" i="89"/>
  <c r="Z39" i="89"/>
  <c r="W39" i="89"/>
  <c r="X39" i="89" s="1"/>
  <c r="CI39" i="89" s="1"/>
  <c r="U39" i="89"/>
  <c r="T39" i="89"/>
  <c r="Q39" i="89"/>
  <c r="O39" i="89" s="1"/>
  <c r="M39" i="89"/>
  <c r="D39" i="89"/>
  <c r="EE38" i="89"/>
  <c r="ED38" i="89"/>
  <c r="DL38" i="89"/>
  <c r="DG38" i="89"/>
  <c r="DK38" i="89" s="1"/>
  <c r="DF38" i="89"/>
  <c r="DE38" i="89"/>
  <c r="DC38" i="89"/>
  <c r="CW38" i="89"/>
  <c r="DA38" i="89" s="1"/>
  <c r="CV38" i="89"/>
  <c r="CZ38" i="89" s="1"/>
  <c r="CU38" i="89"/>
  <c r="CO38" i="89"/>
  <c r="CJ38" i="89"/>
  <c r="CD38" i="89"/>
  <c r="CA38" i="89"/>
  <c r="BZ38" i="89"/>
  <c r="BY38" i="89"/>
  <c r="BX38" i="89"/>
  <c r="BO38" i="89"/>
  <c r="BE38" i="89"/>
  <c r="BD38" i="89"/>
  <c r="EL38" i="89" s="1"/>
  <c r="BC38" i="89"/>
  <c r="BB38" i="89"/>
  <c r="AO38" i="89"/>
  <c r="AE38" i="89"/>
  <c r="Z38" i="89"/>
  <c r="W38" i="89"/>
  <c r="X38" i="89" s="1"/>
  <c r="CI38" i="89" s="1"/>
  <c r="U38" i="89"/>
  <c r="T38" i="89"/>
  <c r="Q38" i="89"/>
  <c r="O38" i="89"/>
  <c r="M38" i="89"/>
  <c r="D38" i="89"/>
  <c r="ED37" i="89"/>
  <c r="EE37" i="89" s="1"/>
  <c r="DL37" i="89"/>
  <c r="DG37" i="89"/>
  <c r="DH37" i="89" s="1"/>
  <c r="DF37" i="89"/>
  <c r="DE37" i="89"/>
  <c r="CW37" i="89" s="1"/>
  <c r="DC37" i="89"/>
  <c r="CV37" i="89"/>
  <c r="DA37" i="89" s="1"/>
  <c r="CO37" i="89"/>
  <c r="CJ37" i="89"/>
  <c r="CD37" i="89"/>
  <c r="CA37" i="89"/>
  <c r="BZ37" i="89"/>
  <c r="BX37" i="89"/>
  <c r="BO37" i="89"/>
  <c r="BE37" i="89"/>
  <c r="BD37" i="89"/>
  <c r="BC37" i="89"/>
  <c r="BB37" i="89"/>
  <c r="AO37" i="89"/>
  <c r="AD37" i="89"/>
  <c r="Z37" i="89"/>
  <c r="W37" i="89"/>
  <c r="X37" i="89" s="1"/>
  <c r="CI37" i="89" s="1"/>
  <c r="U37" i="89"/>
  <c r="T37" i="89"/>
  <c r="Q37" i="89"/>
  <c r="O37" i="89" s="1"/>
  <c r="M37" i="89"/>
  <c r="D37" i="89"/>
  <c r="EE36" i="89"/>
  <c r="ED36" i="89"/>
  <c r="DL36" i="89"/>
  <c r="DG36" i="89"/>
  <c r="DK36" i="89" s="1"/>
  <c r="DF36" i="89"/>
  <c r="DE36" i="89"/>
  <c r="DC36" i="89"/>
  <c r="CW36" i="89"/>
  <c r="DA36" i="89" s="1"/>
  <c r="CV36" i="89"/>
  <c r="CZ36" i="89" s="1"/>
  <c r="CU36" i="89"/>
  <c r="CO36" i="89"/>
  <c r="CJ36" i="89"/>
  <c r="CD36" i="89"/>
  <c r="CA36" i="89"/>
  <c r="BZ36" i="89"/>
  <c r="BY36" i="89"/>
  <c r="BX36" i="89"/>
  <c r="BO36" i="89"/>
  <c r="BE36" i="89"/>
  <c r="BD36" i="89"/>
  <c r="EL36" i="89" s="1"/>
  <c r="BC36" i="89"/>
  <c r="BB36" i="89"/>
  <c r="AO36" i="89"/>
  <c r="AE36" i="89"/>
  <c r="Z36" i="89"/>
  <c r="W36" i="89"/>
  <c r="U36" i="89"/>
  <c r="T36" i="89"/>
  <c r="Q36" i="89"/>
  <c r="O36" i="89" s="1"/>
  <c r="M36" i="89"/>
  <c r="D36" i="89"/>
  <c r="ED35" i="89"/>
  <c r="EE35" i="89" s="1"/>
  <c r="DL35" i="89"/>
  <c r="DK35" i="89"/>
  <c r="DG35" i="89"/>
  <c r="DH35" i="89" s="1"/>
  <c r="DF35" i="89"/>
  <c r="DE35" i="89"/>
  <c r="DC35" i="89"/>
  <c r="CV35" i="89"/>
  <c r="CO35" i="89"/>
  <c r="CJ35" i="89"/>
  <c r="CD35" i="89"/>
  <c r="CA35" i="89"/>
  <c r="BZ35" i="89"/>
  <c r="BX35" i="89"/>
  <c r="BO35" i="89"/>
  <c r="BE35" i="89"/>
  <c r="BD35" i="89"/>
  <c r="AD35" i="89" s="1"/>
  <c r="BA35" i="89" s="1"/>
  <c r="BC35" i="89"/>
  <c r="BB35" i="89"/>
  <c r="AO35" i="89"/>
  <c r="EL35" i="89" s="1"/>
  <c r="Z35" i="89"/>
  <c r="X35" i="89"/>
  <c r="CI35" i="89" s="1"/>
  <c r="W35" i="89"/>
  <c r="U35" i="89"/>
  <c r="T35" i="89"/>
  <c r="Q35" i="89"/>
  <c r="O35" i="89" s="1"/>
  <c r="M35" i="89"/>
  <c r="D35" i="89"/>
  <c r="ED34" i="89"/>
  <c r="EE34" i="89" s="1"/>
  <c r="DL34" i="89"/>
  <c r="DH34" i="89"/>
  <c r="DG34" i="89"/>
  <c r="DK34" i="89" s="1"/>
  <c r="DF34" i="89"/>
  <c r="CU34" i="89" s="1"/>
  <c r="BY34" i="89" s="1"/>
  <c r="DE34" i="89"/>
  <c r="DC34" i="89"/>
  <c r="CW34" i="89"/>
  <c r="CV34" i="89"/>
  <c r="CZ34" i="89" s="1"/>
  <c r="CO34" i="89"/>
  <c r="CJ34" i="89"/>
  <c r="CD34" i="89"/>
  <c r="CA34" i="89"/>
  <c r="BZ34" i="89"/>
  <c r="BX34" i="89"/>
  <c r="BO34" i="89"/>
  <c r="BE34" i="89"/>
  <c r="BD34" i="89"/>
  <c r="BC34" i="89"/>
  <c r="AE34" i="89" s="1"/>
  <c r="BB34" i="89"/>
  <c r="AO34" i="89"/>
  <c r="Z34" i="89"/>
  <c r="W34" i="89"/>
  <c r="U34" i="89"/>
  <c r="T34" i="89"/>
  <c r="Q34" i="89"/>
  <c r="O34" i="89" s="1"/>
  <c r="M34" i="89"/>
  <c r="D34" i="89"/>
  <c r="ED33" i="89"/>
  <c r="EE33" i="89" s="1"/>
  <c r="DL33" i="89"/>
  <c r="DG33" i="89"/>
  <c r="DH33" i="89" s="1"/>
  <c r="DF33" i="89"/>
  <c r="DE33" i="89"/>
  <c r="DC33" i="89"/>
  <c r="CX33" i="89"/>
  <c r="CV33" i="89"/>
  <c r="CO33" i="89"/>
  <c r="CJ33" i="89"/>
  <c r="CD33" i="89"/>
  <c r="CA33" i="89"/>
  <c r="BZ33" i="89"/>
  <c r="BX33" i="89"/>
  <c r="BO33" i="89"/>
  <c r="BE33" i="89"/>
  <c r="BD33" i="89"/>
  <c r="AD33" i="89" s="1"/>
  <c r="AR33" i="89" s="1"/>
  <c r="BC33" i="89"/>
  <c r="BB33" i="89"/>
  <c r="AO33" i="89"/>
  <c r="AE33" i="89"/>
  <c r="Z33" i="89"/>
  <c r="W33" i="89"/>
  <c r="X33" i="89" s="1"/>
  <c r="CI33" i="89" s="1"/>
  <c r="U33" i="89"/>
  <c r="T33" i="89"/>
  <c r="Q33" i="89"/>
  <c r="O33" i="89" s="1"/>
  <c r="M33" i="89"/>
  <c r="D33" i="89"/>
  <c r="EE32" i="89"/>
  <c r="ED32" i="89"/>
  <c r="DL32" i="89"/>
  <c r="DG32" i="89"/>
  <c r="DK32" i="89" s="1"/>
  <c r="DF32" i="89"/>
  <c r="DE32" i="89"/>
  <c r="DC32" i="89"/>
  <c r="CW32" i="89"/>
  <c r="DA32" i="89" s="1"/>
  <c r="CV32" i="89"/>
  <c r="CZ32" i="89" s="1"/>
  <c r="CU32" i="89"/>
  <c r="CO32" i="89"/>
  <c r="CJ32" i="89"/>
  <c r="CD32" i="89"/>
  <c r="CA32" i="89"/>
  <c r="BZ32" i="89"/>
  <c r="BY32" i="89"/>
  <c r="BX32" i="89"/>
  <c r="BO32" i="89"/>
  <c r="BE32" i="89"/>
  <c r="BD32" i="89"/>
  <c r="EL32" i="89" s="1"/>
  <c r="BC32" i="89"/>
  <c r="BB32" i="89"/>
  <c r="AO32" i="89"/>
  <c r="AE32" i="89"/>
  <c r="Z32" i="89"/>
  <c r="W32" i="89"/>
  <c r="X32" i="89" s="1"/>
  <c r="CI32" i="89" s="1"/>
  <c r="U32" i="89"/>
  <c r="T32" i="89"/>
  <c r="Q32" i="89"/>
  <c r="O32" i="89"/>
  <c r="M32" i="89"/>
  <c r="D32" i="89"/>
  <c r="ED31" i="89"/>
  <c r="EE31" i="89" s="1"/>
  <c r="DL31" i="89"/>
  <c r="DG31" i="89"/>
  <c r="DH31" i="89" s="1"/>
  <c r="DF31" i="89"/>
  <c r="DE31" i="89"/>
  <c r="CW31" i="89" s="1"/>
  <c r="DC31" i="89"/>
  <c r="CV31" i="89"/>
  <c r="DA31" i="89" s="1"/>
  <c r="CO31" i="89"/>
  <c r="CJ31" i="89"/>
  <c r="CD31" i="89"/>
  <c r="CA31" i="89"/>
  <c r="BZ31" i="89"/>
  <c r="BX31" i="89"/>
  <c r="BO31" i="89"/>
  <c r="BE31" i="89"/>
  <c r="BD31" i="89"/>
  <c r="BC31" i="89"/>
  <c r="BB31" i="89"/>
  <c r="AO31" i="89"/>
  <c r="AD31" i="89"/>
  <c r="Z31" i="89"/>
  <c r="X31" i="89"/>
  <c r="CI31" i="89" s="1"/>
  <c r="W31" i="89"/>
  <c r="U31" i="89"/>
  <c r="T31" i="89"/>
  <c r="Q31" i="89"/>
  <c r="O31" i="89" s="1"/>
  <c r="M31" i="89"/>
  <c r="D31" i="89"/>
  <c r="ED30" i="89"/>
  <c r="EE30" i="89" s="1"/>
  <c r="DL30" i="89"/>
  <c r="DH30" i="89"/>
  <c r="DG30" i="89"/>
  <c r="DK30" i="89" s="1"/>
  <c r="DF30" i="89"/>
  <c r="CU30" i="89" s="1"/>
  <c r="BY30" i="89" s="1"/>
  <c r="DE30" i="89"/>
  <c r="DC30" i="89"/>
  <c r="CW30" i="89"/>
  <c r="CV30" i="89"/>
  <c r="CZ30" i="89" s="1"/>
  <c r="CO30" i="89"/>
  <c r="CJ30" i="89"/>
  <c r="CD30" i="89"/>
  <c r="CA30" i="89"/>
  <c r="BZ30" i="89"/>
  <c r="BX30" i="89"/>
  <c r="BO30" i="89"/>
  <c r="BE30" i="89"/>
  <c r="BD30" i="89"/>
  <c r="BC30" i="89"/>
  <c r="AE30" i="89" s="1"/>
  <c r="BB30" i="89"/>
  <c r="AO30" i="89"/>
  <c r="Z30" i="89"/>
  <c r="W30" i="89"/>
  <c r="U30" i="89"/>
  <c r="T30" i="89"/>
  <c r="Q30" i="89"/>
  <c r="O30" i="89" s="1"/>
  <c r="M30" i="89"/>
  <c r="D30" i="89"/>
  <c r="ED29" i="89"/>
  <c r="EE29" i="89" s="1"/>
  <c r="DL29" i="89"/>
  <c r="DG29" i="89"/>
  <c r="DH29" i="89" s="1"/>
  <c r="DF29" i="89"/>
  <c r="DE29" i="89"/>
  <c r="CW29" i="89" s="1"/>
  <c r="DC29" i="89"/>
  <c r="CV29" i="89"/>
  <c r="DA29" i="89" s="1"/>
  <c r="CO29" i="89"/>
  <c r="CJ29" i="89"/>
  <c r="CD29" i="89"/>
  <c r="CA29" i="89"/>
  <c r="BZ29" i="89"/>
  <c r="BX29" i="89"/>
  <c r="BO29" i="89"/>
  <c r="BE29" i="89"/>
  <c r="BD29" i="89"/>
  <c r="BC29" i="89"/>
  <c r="AE29" i="89" s="1"/>
  <c r="BB29" i="89"/>
  <c r="AO29" i="89"/>
  <c r="EL29" i="89" s="1"/>
  <c r="AD29" i="89"/>
  <c r="Z29" i="89"/>
  <c r="W29" i="89"/>
  <c r="X29" i="89" s="1"/>
  <c r="CI29" i="89" s="1"/>
  <c r="U29" i="89"/>
  <c r="T29" i="89"/>
  <c r="Q29" i="89"/>
  <c r="O29" i="89" s="1"/>
  <c r="M29" i="89"/>
  <c r="D29" i="89"/>
  <c r="EE28" i="89"/>
  <c r="ED28" i="89"/>
  <c r="DL28" i="89"/>
  <c r="DG28" i="89"/>
  <c r="DK28" i="89" s="1"/>
  <c r="DF28" i="89"/>
  <c r="DE28" i="89"/>
  <c r="DC28" i="89"/>
  <c r="CW28" i="89"/>
  <c r="DA28" i="89" s="1"/>
  <c r="CV28" i="89"/>
  <c r="CZ28" i="89" s="1"/>
  <c r="CU28" i="89"/>
  <c r="CO28" i="89"/>
  <c r="CJ28" i="89"/>
  <c r="CD28" i="89"/>
  <c r="CA28" i="89"/>
  <c r="BZ28" i="89"/>
  <c r="BY28" i="89"/>
  <c r="BX28" i="89"/>
  <c r="BO28" i="89"/>
  <c r="BE28" i="89"/>
  <c r="BD28" i="89"/>
  <c r="EL28" i="89" s="1"/>
  <c r="BC28" i="89"/>
  <c r="BB28" i="89"/>
  <c r="AO28" i="89"/>
  <c r="AE28" i="89"/>
  <c r="Z28" i="89"/>
  <c r="W28" i="89"/>
  <c r="X28" i="89" s="1"/>
  <c r="CI28" i="89" s="1"/>
  <c r="U28" i="89"/>
  <c r="T28" i="89"/>
  <c r="Q28" i="89"/>
  <c r="O28" i="89"/>
  <c r="M28" i="89"/>
  <c r="D28" i="89"/>
  <c r="ED27" i="89"/>
  <c r="EE27" i="89" s="1"/>
  <c r="DL27" i="89"/>
  <c r="DG27" i="89"/>
  <c r="DH27" i="89" s="1"/>
  <c r="DF27" i="89"/>
  <c r="DE27" i="89"/>
  <c r="CW27" i="89" s="1"/>
  <c r="DC27" i="89"/>
  <c r="CV27" i="89"/>
  <c r="DA27" i="89" s="1"/>
  <c r="CO27" i="89"/>
  <c r="CJ27" i="89"/>
  <c r="CD27" i="89"/>
  <c r="CA27" i="89"/>
  <c r="BZ27" i="89"/>
  <c r="BX27" i="89"/>
  <c r="BO27" i="89"/>
  <c r="BE27" i="89"/>
  <c r="BD27" i="89"/>
  <c r="BC27" i="89"/>
  <c r="BB27" i="89"/>
  <c r="AO27" i="89"/>
  <c r="AD27" i="89"/>
  <c r="Z27" i="89"/>
  <c r="X27" i="89"/>
  <c r="CI27" i="89" s="1"/>
  <c r="W27" i="89"/>
  <c r="U27" i="89"/>
  <c r="T27" i="89"/>
  <c r="Q27" i="89"/>
  <c r="O27" i="89" s="1"/>
  <c r="M27" i="89"/>
  <c r="D27" i="89"/>
  <c r="ED26" i="89"/>
  <c r="EE26" i="89" s="1"/>
  <c r="DL26" i="89"/>
  <c r="DH26" i="89"/>
  <c r="DG26" i="89"/>
  <c r="DK26" i="89" s="1"/>
  <c r="DF26" i="89"/>
  <c r="CU26" i="89" s="1"/>
  <c r="BY26" i="89" s="1"/>
  <c r="DE26" i="89"/>
  <c r="DC26" i="89"/>
  <c r="CW26" i="89"/>
  <c r="CV26" i="89"/>
  <c r="CZ26" i="89" s="1"/>
  <c r="CO26" i="89"/>
  <c r="CJ26" i="89"/>
  <c r="CD26" i="89"/>
  <c r="CA26" i="89"/>
  <c r="BZ26" i="89"/>
  <c r="BX26" i="89"/>
  <c r="BO26" i="89"/>
  <c r="BE26" i="89"/>
  <c r="BD26" i="89"/>
  <c r="BC26" i="89"/>
  <c r="AE26" i="89" s="1"/>
  <c r="BB26" i="89"/>
  <c r="AO26" i="89"/>
  <c r="Z26" i="89"/>
  <c r="W26" i="89"/>
  <c r="U26" i="89"/>
  <c r="T26" i="89"/>
  <c r="Q26" i="89"/>
  <c r="O26" i="89" s="1"/>
  <c r="M26" i="89"/>
  <c r="D26" i="89"/>
  <c r="ED25" i="89"/>
  <c r="EE25" i="89" s="1"/>
  <c r="DL25" i="89"/>
  <c r="DG25" i="89"/>
  <c r="DH25" i="89" s="1"/>
  <c r="DF25" i="89"/>
  <c r="DE25" i="89"/>
  <c r="CW25" i="89" s="1"/>
  <c r="DC25" i="89"/>
  <c r="CV25" i="89"/>
  <c r="CO25" i="89"/>
  <c r="CJ25" i="89"/>
  <c r="CD25" i="89"/>
  <c r="CA25" i="89"/>
  <c r="BZ25" i="89"/>
  <c r="BX25" i="89"/>
  <c r="BO25" i="89"/>
  <c r="BE25" i="89"/>
  <c r="BD25" i="89"/>
  <c r="BC25" i="89"/>
  <c r="AE25" i="89" s="1"/>
  <c r="BB25" i="89"/>
  <c r="AO25" i="89"/>
  <c r="AD25" i="89"/>
  <c r="BA25" i="89" s="1"/>
  <c r="Z25" i="89"/>
  <c r="W25" i="89"/>
  <c r="X25" i="89" s="1"/>
  <c r="CI25" i="89" s="1"/>
  <c r="U25" i="89"/>
  <c r="T25" i="89"/>
  <c r="Q25" i="89"/>
  <c r="O25" i="89" s="1"/>
  <c r="M25" i="89"/>
  <c r="D25" i="89"/>
  <c r="EE24" i="89"/>
  <c r="ED24" i="89"/>
  <c r="DL24" i="89"/>
  <c r="DG24" i="89"/>
  <c r="DK24" i="89" s="1"/>
  <c r="DF24" i="89"/>
  <c r="DE24" i="89"/>
  <c r="DC24" i="89"/>
  <c r="CW24" i="89"/>
  <c r="CV24" i="89"/>
  <c r="CU24" i="89"/>
  <c r="EM24" i="89" s="1"/>
  <c r="CO24" i="89"/>
  <c r="CJ24" i="89"/>
  <c r="CD24" i="89"/>
  <c r="CA24" i="89"/>
  <c r="BZ24" i="89"/>
  <c r="BY24" i="89"/>
  <c r="BX24" i="89"/>
  <c r="BO24" i="89"/>
  <c r="BE24" i="89"/>
  <c r="BD24" i="89"/>
  <c r="BC24" i="89"/>
  <c r="BB24" i="89"/>
  <c r="AO24" i="89"/>
  <c r="AD24" i="89"/>
  <c r="Z24" i="89"/>
  <c r="X24" i="89"/>
  <c r="CI24" i="89" s="1"/>
  <c r="W24" i="89"/>
  <c r="U24" i="89"/>
  <c r="T24" i="89"/>
  <c r="Q24" i="89"/>
  <c r="O24" i="89" s="1"/>
  <c r="M24" i="89"/>
  <c r="D24" i="89"/>
  <c r="ED23" i="89"/>
  <c r="EE23" i="89" s="1"/>
  <c r="DL23" i="89"/>
  <c r="DH23" i="89"/>
  <c r="DG23" i="89"/>
  <c r="DK23" i="89" s="1"/>
  <c r="DF23" i="89"/>
  <c r="CU23" i="89" s="1"/>
  <c r="BY23" i="89" s="1"/>
  <c r="DE23" i="89"/>
  <c r="DC23" i="89"/>
  <c r="CW23" i="89"/>
  <c r="CV23" i="89"/>
  <c r="CZ23" i="89" s="1"/>
  <c r="CO23" i="89"/>
  <c r="CJ23" i="89"/>
  <c r="CD23" i="89"/>
  <c r="CA23" i="89"/>
  <c r="BZ23" i="89"/>
  <c r="BX23" i="89"/>
  <c r="BO23" i="89"/>
  <c r="BE23" i="89"/>
  <c r="BD23" i="89"/>
  <c r="BC23" i="89"/>
  <c r="AE23" i="89" s="1"/>
  <c r="BB23" i="89"/>
  <c r="AO23" i="89"/>
  <c r="Z23" i="89"/>
  <c r="W23" i="89"/>
  <c r="U23" i="89"/>
  <c r="T23" i="89"/>
  <c r="Q23" i="89"/>
  <c r="O23" i="89" s="1"/>
  <c r="M23" i="89"/>
  <c r="D23" i="89"/>
  <c r="ED22" i="89"/>
  <c r="EE22" i="89" s="1"/>
  <c r="DL22" i="89"/>
  <c r="DG22" i="89"/>
  <c r="DH22" i="89" s="1"/>
  <c r="DF22" i="89"/>
  <c r="DE22" i="89"/>
  <c r="CW22" i="89" s="1"/>
  <c r="DC22" i="89"/>
  <c r="CV22" i="89"/>
  <c r="DA22" i="89" s="1"/>
  <c r="CO22" i="89"/>
  <c r="CJ22" i="89"/>
  <c r="CD22" i="89"/>
  <c r="CA22" i="89"/>
  <c r="BZ22" i="89"/>
  <c r="BX22" i="89"/>
  <c r="BO22" i="89"/>
  <c r="BE22" i="89"/>
  <c r="BD22" i="89"/>
  <c r="BC22" i="89"/>
  <c r="AE22" i="89" s="1"/>
  <c r="BB22" i="89"/>
  <c r="AO22" i="89"/>
  <c r="EL22" i="89" s="1"/>
  <c r="AD22" i="89"/>
  <c r="Z22" i="89"/>
  <c r="W22" i="89"/>
  <c r="X22" i="89" s="1"/>
  <c r="CI22" i="89" s="1"/>
  <c r="U22" i="89"/>
  <c r="T22" i="89"/>
  <c r="Q22" i="89"/>
  <c r="O22" i="89" s="1"/>
  <c r="M22" i="89"/>
  <c r="D22" i="89"/>
  <c r="EE21" i="89"/>
  <c r="ED21" i="89"/>
  <c r="DL21" i="89"/>
  <c r="DG21" i="89"/>
  <c r="DF21" i="89"/>
  <c r="DE21" i="89"/>
  <c r="DC21" i="89"/>
  <c r="CW21" i="89"/>
  <c r="DA21" i="89" s="1"/>
  <c r="CV21" i="89"/>
  <c r="CZ21" i="89" s="1"/>
  <c r="CU21" i="89"/>
  <c r="CO21" i="89"/>
  <c r="CJ21" i="89"/>
  <c r="CD21" i="89"/>
  <c r="CA21" i="89"/>
  <c r="BZ21" i="89"/>
  <c r="BY21" i="89"/>
  <c r="BX21" i="89"/>
  <c r="BO21" i="89"/>
  <c r="BE21" i="89"/>
  <c r="BD21" i="89"/>
  <c r="EL21" i="89" s="1"/>
  <c r="BC21" i="89"/>
  <c r="BB21" i="89"/>
  <c r="AO21" i="89"/>
  <c r="AE21" i="89"/>
  <c r="Z21" i="89"/>
  <c r="W21" i="89"/>
  <c r="X21" i="89" s="1"/>
  <c r="CI21" i="89" s="1"/>
  <c r="U21" i="89"/>
  <c r="T21" i="89"/>
  <c r="Q21" i="89"/>
  <c r="O21" i="89"/>
  <c r="M21" i="89"/>
  <c r="D21" i="89"/>
  <c r="ED20" i="89"/>
  <c r="EE20" i="89" s="1"/>
  <c r="DL20" i="89"/>
  <c r="DG20" i="89"/>
  <c r="DH20" i="89" s="1"/>
  <c r="DF20" i="89"/>
  <c r="DE20" i="89"/>
  <c r="CW20" i="89" s="1"/>
  <c r="DC20" i="89"/>
  <c r="CV20" i="89"/>
  <c r="DA20" i="89" s="1"/>
  <c r="CO20" i="89"/>
  <c r="CJ20" i="89"/>
  <c r="CD20" i="89"/>
  <c r="CA20" i="89"/>
  <c r="BZ20" i="89"/>
  <c r="BX20" i="89"/>
  <c r="BO20" i="89"/>
  <c r="BE20" i="89"/>
  <c r="BD20" i="89"/>
  <c r="BC20" i="89"/>
  <c r="BB20" i="89"/>
  <c r="AO20" i="89"/>
  <c r="AD20" i="89"/>
  <c r="Z20" i="89"/>
  <c r="X20" i="89"/>
  <c r="CI20" i="89" s="1"/>
  <c r="W20" i="89"/>
  <c r="U20" i="89"/>
  <c r="T20" i="89"/>
  <c r="Q20" i="89"/>
  <c r="O20" i="89" s="1"/>
  <c r="M20" i="89"/>
  <c r="D20" i="89"/>
  <c r="ED19" i="89"/>
  <c r="EE19" i="89" s="1"/>
  <c r="DL19" i="89"/>
  <c r="DH19" i="89"/>
  <c r="DG19" i="89"/>
  <c r="DK19" i="89" s="1"/>
  <c r="DF19" i="89"/>
  <c r="CU19" i="89" s="1"/>
  <c r="BY19" i="89" s="1"/>
  <c r="DE19" i="89"/>
  <c r="DC19" i="89"/>
  <c r="CW19" i="89"/>
  <c r="CV19" i="89"/>
  <c r="CZ19" i="89" s="1"/>
  <c r="CO19" i="89"/>
  <c r="CJ19" i="89"/>
  <c r="CD19" i="89"/>
  <c r="CA19" i="89"/>
  <c r="BZ19" i="89"/>
  <c r="BX19" i="89"/>
  <c r="BO19" i="89"/>
  <c r="BE19" i="89"/>
  <c r="BD19" i="89"/>
  <c r="BC19" i="89"/>
  <c r="AE19" i="89" s="1"/>
  <c r="BB19" i="89"/>
  <c r="AO19" i="89"/>
  <c r="Z19" i="89"/>
  <c r="W19" i="89"/>
  <c r="U19" i="89"/>
  <c r="T19" i="89"/>
  <c r="Q19" i="89"/>
  <c r="O19" i="89" s="1"/>
  <c r="M19" i="89"/>
  <c r="D19" i="89"/>
  <c r="ED18" i="89"/>
  <c r="EE18" i="89" s="1"/>
  <c r="DL18" i="89"/>
  <c r="DG18" i="89"/>
  <c r="DH18" i="89" s="1"/>
  <c r="DF18" i="89"/>
  <c r="DE18" i="89"/>
  <c r="CW18" i="89" s="1"/>
  <c r="DC18" i="89"/>
  <c r="CV18" i="89"/>
  <c r="DA18" i="89" s="1"/>
  <c r="CO18" i="89"/>
  <c r="CJ18" i="89"/>
  <c r="CD18" i="89"/>
  <c r="CA18" i="89"/>
  <c r="BZ18" i="89"/>
  <c r="BX18" i="89"/>
  <c r="BO18" i="89"/>
  <c r="BE18" i="89"/>
  <c r="BD18" i="89"/>
  <c r="BC18" i="89"/>
  <c r="AE18" i="89" s="1"/>
  <c r="BB18" i="89"/>
  <c r="AO18" i="89"/>
  <c r="AD18" i="89"/>
  <c r="Z18" i="89"/>
  <c r="W18" i="89"/>
  <c r="X18" i="89" s="1"/>
  <c r="CI18" i="89" s="1"/>
  <c r="U18" i="89"/>
  <c r="T18" i="89"/>
  <c r="Q18" i="89"/>
  <c r="O18" i="89" s="1"/>
  <c r="M18" i="89"/>
  <c r="D18" i="89"/>
  <c r="EE17" i="89"/>
  <c r="ED17" i="89"/>
  <c r="DL17" i="89"/>
  <c r="DG17" i="89"/>
  <c r="DK17" i="89" s="1"/>
  <c r="DF17" i="89"/>
  <c r="DE17" i="89"/>
  <c r="DC17" i="89"/>
  <c r="CW17" i="89"/>
  <c r="DA17" i="89" s="1"/>
  <c r="CV17" i="89"/>
  <c r="CZ17" i="89" s="1"/>
  <c r="CU17" i="89"/>
  <c r="CO17" i="89"/>
  <c r="CJ17" i="89"/>
  <c r="CD17" i="89"/>
  <c r="CA17" i="89"/>
  <c r="BZ17" i="89"/>
  <c r="BY17" i="89"/>
  <c r="BX17" i="89"/>
  <c r="BO17" i="89"/>
  <c r="BE17" i="89"/>
  <c r="BD17" i="89"/>
  <c r="EL17" i="89" s="1"/>
  <c r="BC17" i="89"/>
  <c r="BB17" i="89"/>
  <c r="AO17" i="89"/>
  <c r="Z17" i="89"/>
  <c r="W17" i="89"/>
  <c r="U17" i="89"/>
  <c r="T17" i="89"/>
  <c r="Q17" i="89"/>
  <c r="O17" i="89" s="1"/>
  <c r="M17" i="89"/>
  <c r="D17" i="89"/>
  <c r="ED36" i="88"/>
  <c r="EE36" i="88" s="1"/>
  <c r="DL36" i="88"/>
  <c r="DG36" i="88"/>
  <c r="DH36" i="88" s="1"/>
  <c r="DF36" i="88"/>
  <c r="DE36" i="88"/>
  <c r="CW36" i="88" s="1"/>
  <c r="DC36" i="88"/>
  <c r="CV36" i="88"/>
  <c r="DA36" i="88" s="1"/>
  <c r="CO36" i="88"/>
  <c r="CJ36" i="88"/>
  <c r="CD36" i="88"/>
  <c r="CA36" i="88"/>
  <c r="BZ36" i="88"/>
  <c r="BX36" i="88"/>
  <c r="BE36" i="88" s="1"/>
  <c r="BD36" i="88"/>
  <c r="AE36" i="88" s="1"/>
  <c r="BC36" i="88"/>
  <c r="BB36" i="88"/>
  <c r="Z36" i="88"/>
  <c r="W36" i="88"/>
  <c r="X36" i="88" s="1"/>
  <c r="CI36" i="88" s="1"/>
  <c r="U36" i="88"/>
  <c r="T36" i="88"/>
  <c r="Q36" i="88"/>
  <c r="O36" i="88" s="1"/>
  <c r="M36" i="88"/>
  <c r="D36" i="88"/>
  <c r="ED35" i="88"/>
  <c r="EE35" i="88" s="1"/>
  <c r="DL35" i="88"/>
  <c r="DH35" i="88"/>
  <c r="DG35" i="88"/>
  <c r="DK35" i="88" s="1"/>
  <c r="DF35" i="88"/>
  <c r="CU35" i="88" s="1"/>
  <c r="DE35" i="88"/>
  <c r="DC35" i="88"/>
  <c r="CW35" i="88"/>
  <c r="CV35" i="88"/>
  <c r="CZ35" i="88" s="1"/>
  <c r="CO35" i="88"/>
  <c r="CJ35" i="88"/>
  <c r="CD35" i="88"/>
  <c r="CA35" i="88"/>
  <c r="BZ35" i="88"/>
  <c r="BX35" i="88"/>
  <c r="BE35" i="88" s="1"/>
  <c r="BD35" i="88"/>
  <c r="EL35" i="88" s="1"/>
  <c r="BC35" i="88"/>
  <c r="BB35" i="88"/>
  <c r="AD35" i="88"/>
  <c r="AR35" i="88" s="1"/>
  <c r="Z35" i="88"/>
  <c r="W35" i="88"/>
  <c r="X35" i="88" s="1"/>
  <c r="CI35" i="88" s="1"/>
  <c r="U35" i="88"/>
  <c r="T35" i="88"/>
  <c r="Q35" i="88"/>
  <c r="O35" i="88" s="1"/>
  <c r="M35" i="88"/>
  <c r="D35" i="88"/>
  <c r="ED34" i="88"/>
  <c r="EE34" i="88" s="1"/>
  <c r="DL34" i="88"/>
  <c r="DG34" i="88"/>
  <c r="DH34" i="88" s="1"/>
  <c r="DF34" i="88"/>
  <c r="DE34" i="88"/>
  <c r="CW34" i="88" s="1"/>
  <c r="DC34" i="88"/>
  <c r="CV34" i="88"/>
  <c r="DA34" i="88" s="1"/>
  <c r="CO34" i="88"/>
  <c r="CJ34" i="88"/>
  <c r="CD34" i="88"/>
  <c r="CA34" i="88"/>
  <c r="BZ34" i="88"/>
  <c r="BX34" i="88"/>
  <c r="BO34" i="88"/>
  <c r="BE34" i="88"/>
  <c r="BD34" i="88"/>
  <c r="BC34" i="88"/>
  <c r="AE34" i="88" s="1"/>
  <c r="BB34" i="88"/>
  <c r="AO34" i="88"/>
  <c r="AD34" i="88"/>
  <c r="AS34" i="88" s="1"/>
  <c r="Z34" i="88"/>
  <c r="W34" i="88"/>
  <c r="U34" i="88"/>
  <c r="T34" i="88"/>
  <c r="Q34" i="88"/>
  <c r="O34" i="88" s="1"/>
  <c r="M34" i="88"/>
  <c r="D34" i="88"/>
  <c r="ED32" i="88"/>
  <c r="EE32" i="88" s="1"/>
  <c r="DL32" i="88"/>
  <c r="DG32" i="88"/>
  <c r="DH32" i="88" s="1"/>
  <c r="DF32" i="88"/>
  <c r="DE32" i="88"/>
  <c r="CW32" i="88" s="1"/>
  <c r="DC32" i="88"/>
  <c r="CV32" i="88"/>
  <c r="DA32" i="88" s="1"/>
  <c r="CO32" i="88"/>
  <c r="CJ32" i="88"/>
  <c r="CD32" i="88"/>
  <c r="CA32" i="88"/>
  <c r="BZ32" i="88"/>
  <c r="BY32" i="88"/>
  <c r="BX32" i="88"/>
  <c r="BE32" i="88" s="1"/>
  <c r="BD32" i="88"/>
  <c r="AD32" i="88" s="1"/>
  <c r="BC32" i="88"/>
  <c r="BB32" i="88"/>
  <c r="AO32" i="88"/>
  <c r="AE32" i="88"/>
  <c r="Z32" i="88"/>
  <c r="W32" i="88"/>
  <c r="X32" i="88" s="1"/>
  <c r="CI32" i="88" s="1"/>
  <c r="U32" i="88"/>
  <c r="T32" i="88"/>
  <c r="Q32" i="88"/>
  <c r="O32" i="88"/>
  <c r="M32" i="88"/>
  <c r="D32" i="88"/>
  <c r="ED31" i="88"/>
  <c r="EE31" i="88" s="1"/>
  <c r="DL31" i="88"/>
  <c r="DG31" i="88"/>
  <c r="DH31" i="88" s="1"/>
  <c r="DF31" i="88"/>
  <c r="DE31" i="88"/>
  <c r="CW31" i="88" s="1"/>
  <c r="DC31" i="88"/>
  <c r="CV31" i="88"/>
  <c r="DA31" i="88" s="1"/>
  <c r="CO31" i="88"/>
  <c r="CJ31" i="88"/>
  <c r="CD31" i="88"/>
  <c r="CA31" i="88"/>
  <c r="BZ31" i="88"/>
  <c r="BX31" i="88"/>
  <c r="BE31" i="88" s="1"/>
  <c r="BD31" i="88"/>
  <c r="AD31" i="88" s="1"/>
  <c r="BC31" i="88"/>
  <c r="BB31" i="88"/>
  <c r="AO31" i="88"/>
  <c r="AE31" i="88"/>
  <c r="Z31" i="88"/>
  <c r="W31" i="88"/>
  <c r="X31" i="88" s="1"/>
  <c r="CI31" i="88" s="1"/>
  <c r="U31" i="88"/>
  <c r="T31" i="88"/>
  <c r="Q31" i="88"/>
  <c r="O31" i="88" s="1"/>
  <c r="M31" i="88"/>
  <c r="D31" i="88"/>
  <c r="ED30" i="88"/>
  <c r="EE30" i="88" s="1"/>
  <c r="DL30" i="88"/>
  <c r="DG30" i="88"/>
  <c r="DF30" i="88"/>
  <c r="DE30" i="88"/>
  <c r="DC30" i="88"/>
  <c r="CV30" i="88"/>
  <c r="CX30" i="88" s="1"/>
  <c r="CO30" i="88"/>
  <c r="CJ30" i="88"/>
  <c r="CD30" i="88"/>
  <c r="CA30" i="88"/>
  <c r="BZ30" i="88"/>
  <c r="BY30" i="88"/>
  <c r="BX30" i="88"/>
  <c r="BE30" i="88" s="1"/>
  <c r="BD30" i="88"/>
  <c r="BC30" i="88"/>
  <c r="BB30" i="88"/>
  <c r="AO30" i="88"/>
  <c r="AE30" i="88"/>
  <c r="Z30" i="88"/>
  <c r="W30" i="88"/>
  <c r="X30" i="88" s="1"/>
  <c r="CI30" i="88" s="1"/>
  <c r="U30" i="88"/>
  <c r="T30" i="88"/>
  <c r="Q30" i="88"/>
  <c r="O30" i="88" s="1"/>
  <c r="M30" i="88"/>
  <c r="D30" i="88"/>
  <c r="EE29" i="88"/>
  <c r="ED29" i="88"/>
  <c r="DL29" i="88"/>
  <c r="DG29" i="88"/>
  <c r="DK29" i="88" s="1"/>
  <c r="DF29" i="88"/>
  <c r="DE29" i="88"/>
  <c r="DC29" i="88"/>
  <c r="CW29" i="88"/>
  <c r="DA29" i="88" s="1"/>
  <c r="CV29" i="88"/>
  <c r="CZ29" i="88" s="1"/>
  <c r="CU29" i="88"/>
  <c r="CO29" i="88"/>
  <c r="CJ29" i="88"/>
  <c r="CD29" i="88"/>
  <c r="CA29" i="88"/>
  <c r="BZ29" i="88"/>
  <c r="BY29" i="88"/>
  <c r="BX29" i="88"/>
  <c r="BE29" i="88"/>
  <c r="BD29" i="88"/>
  <c r="BC29" i="88"/>
  <c r="AE29" i="88" s="1"/>
  <c r="BB29" i="88"/>
  <c r="AO29" i="88"/>
  <c r="AD29" i="88"/>
  <c r="Z29" i="88"/>
  <c r="W29" i="88"/>
  <c r="U29" i="88"/>
  <c r="T29" i="88"/>
  <c r="Q29" i="88"/>
  <c r="O29" i="88" s="1"/>
  <c r="M29" i="88"/>
  <c r="D29" i="88"/>
  <c r="ED28" i="88"/>
  <c r="EE28" i="88" s="1"/>
  <c r="DL28" i="88"/>
  <c r="DH28" i="88"/>
  <c r="DG28" i="88"/>
  <c r="DK28" i="88" s="1"/>
  <c r="DF28" i="88"/>
  <c r="CU28" i="88" s="1"/>
  <c r="DE28" i="88"/>
  <c r="DC28" i="88"/>
  <c r="CW28" i="88"/>
  <c r="CV28" i="88"/>
  <c r="CZ28" i="88" s="1"/>
  <c r="CO28" i="88"/>
  <c r="CJ28" i="88"/>
  <c r="CD28" i="88"/>
  <c r="CA28" i="88"/>
  <c r="BZ28" i="88"/>
  <c r="BY28" i="88"/>
  <c r="BX28" i="88"/>
  <c r="BE28" i="88" s="1"/>
  <c r="BD28" i="88"/>
  <c r="EL28" i="88" s="1"/>
  <c r="BC28" i="88"/>
  <c r="BB28" i="88"/>
  <c r="AO28" i="88"/>
  <c r="AD28" i="88"/>
  <c r="Z28" i="88"/>
  <c r="X28" i="88"/>
  <c r="CI28" i="88" s="1"/>
  <c r="W28" i="88"/>
  <c r="U28" i="88"/>
  <c r="T28" i="88"/>
  <c r="Q28" i="88"/>
  <c r="O28" i="88" s="1"/>
  <c r="M28" i="88"/>
  <c r="D28" i="88"/>
  <c r="ED27" i="88"/>
  <c r="EE27" i="88" s="1"/>
  <c r="DL27" i="88"/>
  <c r="DH27" i="88"/>
  <c r="DG27" i="88"/>
  <c r="DK27" i="88" s="1"/>
  <c r="DF27" i="88"/>
  <c r="CU27" i="88" s="1"/>
  <c r="BY27" i="88" s="1"/>
  <c r="DE27" i="88"/>
  <c r="DC27" i="88"/>
  <c r="CW27" i="88"/>
  <c r="CV27" i="88"/>
  <c r="CZ27" i="88" s="1"/>
  <c r="CO27" i="88"/>
  <c r="CJ27" i="88"/>
  <c r="CD27" i="88"/>
  <c r="CA27" i="88"/>
  <c r="BZ27" i="88"/>
  <c r="BX27" i="88"/>
  <c r="BE27" i="88" s="1"/>
  <c r="BD27" i="88"/>
  <c r="EL27" i="88" s="1"/>
  <c r="BC27" i="88"/>
  <c r="BB27" i="88"/>
  <c r="AO27" i="88"/>
  <c r="AD27" i="88"/>
  <c r="Z27" i="88"/>
  <c r="X27" i="88"/>
  <c r="CI27" i="88" s="1"/>
  <c r="W27" i="88"/>
  <c r="U27" i="88"/>
  <c r="T27" i="88"/>
  <c r="Q27" i="88"/>
  <c r="O27" i="88" s="1"/>
  <c r="M27" i="88"/>
  <c r="D27" i="88"/>
  <c r="ED26" i="88"/>
  <c r="EE26" i="88" s="1"/>
  <c r="DL26" i="88"/>
  <c r="DH26" i="88"/>
  <c r="DG26" i="88"/>
  <c r="DK26" i="88" s="1"/>
  <c r="DF26" i="88"/>
  <c r="CU26" i="88" s="1"/>
  <c r="BY26" i="88" s="1"/>
  <c r="DE26" i="88"/>
  <c r="DC26" i="88"/>
  <c r="CW26" i="88"/>
  <c r="CV26" i="88"/>
  <c r="CZ26" i="88" s="1"/>
  <c r="CO26" i="88"/>
  <c r="CJ26" i="88"/>
  <c r="CD26" i="88"/>
  <c r="CA26" i="88"/>
  <c r="BZ26" i="88"/>
  <c r="BX26" i="88"/>
  <c r="BE26" i="88" s="1"/>
  <c r="BD26" i="88"/>
  <c r="EL26" i="88" s="1"/>
  <c r="BC26" i="88"/>
  <c r="BB26" i="88"/>
  <c r="AO26" i="88"/>
  <c r="AD26" i="88"/>
  <c r="Z26" i="88"/>
  <c r="X26" i="88"/>
  <c r="CI26" i="88" s="1"/>
  <c r="W26" i="88"/>
  <c r="U26" i="88"/>
  <c r="T26" i="88"/>
  <c r="Q26" i="88"/>
  <c r="O26" i="88" s="1"/>
  <c r="M26" i="88"/>
  <c r="D26" i="88"/>
  <c r="ED25" i="88"/>
  <c r="EE25" i="88" s="1"/>
  <c r="DL25" i="88"/>
  <c r="DH25" i="88"/>
  <c r="DG25" i="88"/>
  <c r="DK25" i="88" s="1"/>
  <c r="DF25" i="88"/>
  <c r="CU25" i="88" s="1"/>
  <c r="BY25" i="88" s="1"/>
  <c r="DE25" i="88"/>
  <c r="DC25" i="88"/>
  <c r="CW25" i="88"/>
  <c r="CV25" i="88"/>
  <c r="CZ25" i="88" s="1"/>
  <c r="CO25" i="88"/>
  <c r="CJ25" i="88"/>
  <c r="CD25" i="88"/>
  <c r="CA25" i="88"/>
  <c r="BZ25" i="88"/>
  <c r="BX25" i="88"/>
  <c r="BE25" i="88" s="1"/>
  <c r="BD25" i="88"/>
  <c r="EL25" i="88" s="1"/>
  <c r="BC25" i="88"/>
  <c r="BB25" i="88"/>
  <c r="AO25" i="88"/>
  <c r="AD25" i="88"/>
  <c r="Z25" i="88"/>
  <c r="X25" i="88"/>
  <c r="CI25" i="88" s="1"/>
  <c r="W25" i="88"/>
  <c r="U25" i="88"/>
  <c r="T25" i="88"/>
  <c r="Q25" i="88"/>
  <c r="O25" i="88" s="1"/>
  <c r="M25" i="88"/>
  <c r="D25" i="88"/>
  <c r="ED24" i="88"/>
  <c r="EE24" i="88" s="1"/>
  <c r="DL24" i="88"/>
  <c r="DJ24" i="88"/>
  <c r="DG24" i="88"/>
  <c r="DK24" i="88" s="1"/>
  <c r="DF24" i="88"/>
  <c r="DE24" i="88"/>
  <c r="CW24" i="88" s="1"/>
  <c r="DC24" i="88"/>
  <c r="CV24" i="88"/>
  <c r="DA24" i="88" s="1"/>
  <c r="CO24" i="88"/>
  <c r="CJ24" i="88"/>
  <c r="CD24" i="88"/>
  <c r="CA24" i="88"/>
  <c r="BZ24" i="88"/>
  <c r="BX24" i="88"/>
  <c r="BE24" i="88" s="1"/>
  <c r="BD24" i="88"/>
  <c r="EL24" i="88" s="1"/>
  <c r="BC24" i="88"/>
  <c r="BB24" i="88"/>
  <c r="AO24" i="88"/>
  <c r="AE24" i="88"/>
  <c r="Z24" i="88"/>
  <c r="W24" i="88"/>
  <c r="X24" i="88" s="1"/>
  <c r="CI24" i="88" s="1"/>
  <c r="U24" i="88"/>
  <c r="T24" i="88"/>
  <c r="Q24" i="88"/>
  <c r="O24" i="88"/>
  <c r="M24" i="88"/>
  <c r="D24" i="88"/>
  <c r="ED23" i="88"/>
  <c r="EE23" i="88" s="1"/>
  <c r="DL23" i="88"/>
  <c r="DG23" i="88"/>
  <c r="DH23" i="88" s="1"/>
  <c r="DF23" i="88"/>
  <c r="DE23" i="88"/>
  <c r="CW23" i="88" s="1"/>
  <c r="DC23" i="88"/>
  <c r="CV23" i="88"/>
  <c r="DA23" i="88" s="1"/>
  <c r="CO23" i="88"/>
  <c r="CJ23" i="88"/>
  <c r="CD23" i="88"/>
  <c r="CA23" i="88"/>
  <c r="BZ23" i="88"/>
  <c r="BX23" i="88"/>
  <c r="BO23" i="88"/>
  <c r="BE23" i="88"/>
  <c r="BD23" i="88"/>
  <c r="BC23" i="88"/>
  <c r="BB23" i="88"/>
  <c r="AO23" i="88"/>
  <c r="AD23" i="88"/>
  <c r="Z23" i="88"/>
  <c r="X23" i="88"/>
  <c r="CI23" i="88" s="1"/>
  <c r="W23" i="88"/>
  <c r="U23" i="88"/>
  <c r="T23" i="88"/>
  <c r="Q23" i="88"/>
  <c r="O23" i="88" s="1"/>
  <c r="M23" i="88"/>
  <c r="D23" i="88"/>
  <c r="ED22" i="88"/>
  <c r="EE22" i="88" s="1"/>
  <c r="DL22" i="88"/>
  <c r="DH22" i="88"/>
  <c r="DG22" i="88"/>
  <c r="DK22" i="88" s="1"/>
  <c r="DF22" i="88"/>
  <c r="CU22" i="88" s="1"/>
  <c r="BY22" i="88" s="1"/>
  <c r="DE22" i="88"/>
  <c r="DC22" i="88"/>
  <c r="CW22" i="88"/>
  <c r="CV22" i="88"/>
  <c r="CZ22" i="88" s="1"/>
  <c r="CO22" i="88"/>
  <c r="CJ22" i="88"/>
  <c r="CD22" i="88"/>
  <c r="CA22" i="88"/>
  <c r="BZ22" i="88"/>
  <c r="BX22" i="88"/>
  <c r="BO22" i="88"/>
  <c r="BE22" i="88"/>
  <c r="BD22" i="88"/>
  <c r="BC22" i="88"/>
  <c r="AE22" i="88" s="1"/>
  <c r="BB22" i="88"/>
  <c r="AO22" i="88"/>
  <c r="Z22" i="88"/>
  <c r="W22" i="88"/>
  <c r="U22" i="88"/>
  <c r="T22" i="88"/>
  <c r="Q22" i="88"/>
  <c r="O22" i="88" s="1"/>
  <c r="M22" i="88"/>
  <c r="D22" i="88"/>
  <c r="ED21" i="88"/>
  <c r="EE21" i="88" s="1"/>
  <c r="DL21" i="88"/>
  <c r="DG21" i="88"/>
  <c r="DH21" i="88" s="1"/>
  <c r="DF21" i="88"/>
  <c r="DE21" i="88"/>
  <c r="CW21" i="88" s="1"/>
  <c r="DC21" i="88"/>
  <c r="CV21" i="88"/>
  <c r="DA21" i="88" s="1"/>
  <c r="CO21" i="88"/>
  <c r="CJ21" i="88"/>
  <c r="CD21" i="88"/>
  <c r="CA21" i="88"/>
  <c r="BZ21" i="88"/>
  <c r="BX21" i="88"/>
  <c r="BO21" i="88"/>
  <c r="BE21" i="88"/>
  <c r="BD21" i="88"/>
  <c r="BC21" i="88"/>
  <c r="AE21" i="88" s="1"/>
  <c r="BB21" i="88"/>
  <c r="AO21" i="88"/>
  <c r="AD21" i="88"/>
  <c r="Z21" i="88"/>
  <c r="W21" i="88"/>
  <c r="X21" i="88" s="1"/>
  <c r="CI21" i="88" s="1"/>
  <c r="U21" i="88"/>
  <c r="T21" i="88"/>
  <c r="Q21" i="88"/>
  <c r="O21" i="88" s="1"/>
  <c r="M21" i="88"/>
  <c r="D21" i="88"/>
  <c r="EE20" i="88"/>
  <c r="ED20" i="88"/>
  <c r="DL20" i="88"/>
  <c r="DG20" i="88"/>
  <c r="DK20" i="88" s="1"/>
  <c r="DF20" i="88"/>
  <c r="DE20" i="88"/>
  <c r="DC20" i="88"/>
  <c r="CW20" i="88"/>
  <c r="DA20" i="88" s="1"/>
  <c r="CV20" i="88"/>
  <c r="CZ20" i="88" s="1"/>
  <c r="CU20" i="88"/>
  <c r="CO20" i="88"/>
  <c r="CJ20" i="88"/>
  <c r="CD20" i="88"/>
  <c r="CA20" i="88"/>
  <c r="BZ20" i="88"/>
  <c r="BY20" i="88"/>
  <c r="BX20" i="88"/>
  <c r="BO20" i="88"/>
  <c r="BE20" i="88"/>
  <c r="BD20" i="88"/>
  <c r="AE20" i="88" s="1"/>
  <c r="BC20" i="88"/>
  <c r="BB20" i="88"/>
  <c r="AO20" i="88"/>
  <c r="Z20" i="88"/>
  <c r="W20" i="88"/>
  <c r="U20" i="88"/>
  <c r="T20" i="88"/>
  <c r="Q20" i="88"/>
  <c r="O20" i="88"/>
  <c r="M20" i="88"/>
  <c r="D20" i="88"/>
  <c r="ED19" i="88"/>
  <c r="EE19" i="88" s="1"/>
  <c r="DL19" i="88"/>
  <c r="DG19" i="88"/>
  <c r="DH19" i="88" s="1"/>
  <c r="DF19" i="88"/>
  <c r="DE19" i="88"/>
  <c r="DC19" i="88"/>
  <c r="CV19" i="88"/>
  <c r="CX19" i="88" s="1"/>
  <c r="CO19" i="88"/>
  <c r="CJ19" i="88"/>
  <c r="CD19" i="88"/>
  <c r="CA19" i="88"/>
  <c r="BZ19" i="88"/>
  <c r="BX19" i="88"/>
  <c r="BE19" i="88" s="1"/>
  <c r="BD19" i="88"/>
  <c r="AD19" i="88" s="1"/>
  <c r="BC19" i="88"/>
  <c r="AE19" i="88" s="1"/>
  <c r="BB19" i="88"/>
  <c r="AP19" i="88"/>
  <c r="AO19" i="88"/>
  <c r="Z19" i="88"/>
  <c r="W19" i="88"/>
  <c r="U19" i="88"/>
  <c r="T19" i="88"/>
  <c r="Q19" i="88"/>
  <c r="O19" i="88" s="1"/>
  <c r="M19" i="88"/>
  <c r="D19" i="88"/>
  <c r="EE18" i="88"/>
  <c r="ED18" i="88"/>
  <c r="DL18" i="88"/>
  <c r="DG18" i="88"/>
  <c r="DK18" i="88" s="1"/>
  <c r="DF18" i="88"/>
  <c r="DE18" i="88"/>
  <c r="DC18" i="88"/>
  <c r="CW18" i="88"/>
  <c r="DA18" i="88" s="1"/>
  <c r="CV18" i="88"/>
  <c r="CZ18" i="88" s="1"/>
  <c r="CU18" i="88"/>
  <c r="CO18" i="88"/>
  <c r="CJ18" i="88"/>
  <c r="CD18" i="88"/>
  <c r="CA18" i="88"/>
  <c r="BZ18" i="88"/>
  <c r="BY18" i="88"/>
  <c r="BX18" i="88"/>
  <c r="BE18" i="88"/>
  <c r="BD18" i="88"/>
  <c r="BC18" i="88"/>
  <c r="AE18" i="88" s="1"/>
  <c r="BB18" i="88"/>
  <c r="AO18" i="88"/>
  <c r="AD18" i="88"/>
  <c r="Z18" i="88"/>
  <c r="W18" i="88"/>
  <c r="X18" i="88" s="1"/>
  <c r="CI18" i="88" s="1"/>
  <c r="U18" i="88"/>
  <c r="T18" i="88"/>
  <c r="Q18" i="88"/>
  <c r="O18" i="88" s="1"/>
  <c r="M18" i="88"/>
  <c r="D18" i="88"/>
  <c r="EE17" i="88"/>
  <c r="ED17" i="88"/>
  <c r="DL17" i="88"/>
  <c r="DG17" i="88"/>
  <c r="DK17" i="88" s="1"/>
  <c r="DF17" i="88"/>
  <c r="DE17" i="88"/>
  <c r="DC17" i="88"/>
  <c r="CW17" i="88"/>
  <c r="DA17" i="88" s="1"/>
  <c r="CV17" i="88"/>
  <c r="CZ17" i="88" s="1"/>
  <c r="CU17" i="88"/>
  <c r="CO17" i="88"/>
  <c r="CJ17" i="88"/>
  <c r="CD17" i="88"/>
  <c r="CA17" i="88"/>
  <c r="BZ17" i="88"/>
  <c r="BY17" i="88"/>
  <c r="BX17" i="88"/>
  <c r="BE17" i="88"/>
  <c r="BD17" i="88"/>
  <c r="BC17" i="88"/>
  <c r="AE17" i="88" s="1"/>
  <c r="BB17" i="88"/>
  <c r="AO17" i="88"/>
  <c r="AD17" i="88"/>
  <c r="Z17" i="88"/>
  <c r="W17" i="88"/>
  <c r="X17" i="88" s="1"/>
  <c r="CI17" i="88" s="1"/>
  <c r="U17" i="88"/>
  <c r="T17" i="88"/>
  <c r="Q17" i="88"/>
  <c r="O17" i="88" s="1"/>
  <c r="M17" i="88"/>
  <c r="D17" i="88"/>
  <c r="DK21" i="89" l="1"/>
  <c r="DH21" i="89"/>
  <c r="CC25" i="89"/>
  <c r="AA25" i="89"/>
  <c r="CC35" i="89"/>
  <c r="AA35" i="89"/>
  <c r="EL18" i="89"/>
  <c r="X17" i="89"/>
  <c r="CI17" i="89" s="1"/>
  <c r="DH17" i="89"/>
  <c r="CC44" i="89"/>
  <c r="AA44" i="89"/>
  <c r="CC48" i="89"/>
  <c r="AA48" i="89"/>
  <c r="X19" i="89"/>
  <c r="CI19" i="89" s="1"/>
  <c r="EL19" i="89"/>
  <c r="DA19" i="89"/>
  <c r="EL20" i="89"/>
  <c r="AE20" i="89"/>
  <c r="AR20" i="89" s="1"/>
  <c r="X23" i="89"/>
  <c r="CI23" i="89" s="1"/>
  <c r="EL23" i="89"/>
  <c r="DA23" i="89"/>
  <c r="AE24" i="89"/>
  <c r="DA24" i="89"/>
  <c r="DH24" i="89"/>
  <c r="EL25" i="89"/>
  <c r="X26" i="89"/>
  <c r="CI26" i="89" s="1"/>
  <c r="EL26" i="89"/>
  <c r="DA26" i="89"/>
  <c r="EL27" i="89"/>
  <c r="AE27" i="89"/>
  <c r="DH28" i="89"/>
  <c r="AR29" i="89"/>
  <c r="X30" i="89"/>
  <c r="CI30" i="89" s="1"/>
  <c r="EL30" i="89"/>
  <c r="DA30" i="89"/>
  <c r="EL31" i="89"/>
  <c r="AE31" i="89"/>
  <c r="DH32" i="89"/>
  <c r="EL33" i="89"/>
  <c r="DA34" i="89"/>
  <c r="AE35" i="89"/>
  <c r="X36" i="89"/>
  <c r="CI36" i="89" s="1"/>
  <c r="EL37" i="89"/>
  <c r="AE37" i="89"/>
  <c r="DH38" i="89"/>
  <c r="AR39" i="89"/>
  <c r="DH42" i="89"/>
  <c r="DH43" i="89"/>
  <c r="EL44" i="89"/>
  <c r="DK44" i="89"/>
  <c r="AR45" i="89"/>
  <c r="DA47" i="89"/>
  <c r="AR24" i="89"/>
  <c r="DH36" i="89"/>
  <c r="DH40" i="89"/>
  <c r="X42" i="89"/>
  <c r="CI42" i="89" s="1"/>
  <c r="AR18" i="89"/>
  <c r="AR22" i="89"/>
  <c r="EM17" i="89"/>
  <c r="AQ18" i="89"/>
  <c r="BA18" i="89"/>
  <c r="CX18" i="89"/>
  <c r="CY18" i="89" s="1"/>
  <c r="CZ18" i="89"/>
  <c r="DK18" i="89"/>
  <c r="EM19" i="89"/>
  <c r="AQ20" i="89"/>
  <c r="BA20" i="89"/>
  <c r="CX20" i="89"/>
  <c r="CY20" i="89" s="1"/>
  <c r="CZ20" i="89"/>
  <c r="DK20" i="89"/>
  <c r="EM21" i="89"/>
  <c r="AQ22" i="89"/>
  <c r="BA22" i="89"/>
  <c r="CX22" i="89"/>
  <c r="CY22" i="89" s="1"/>
  <c r="CZ22" i="89"/>
  <c r="DK22" i="89"/>
  <c r="EM23" i="89"/>
  <c r="AQ24" i="89"/>
  <c r="BA24" i="89"/>
  <c r="CX24" i="89"/>
  <c r="CY24" i="89" s="1"/>
  <c r="CZ24" i="89"/>
  <c r="DA25" i="89"/>
  <c r="CZ25" i="89"/>
  <c r="AE17" i="89"/>
  <c r="AD17" i="89"/>
  <c r="CX17" i="89"/>
  <c r="CY17" i="89" s="1"/>
  <c r="AC18" i="89"/>
  <c r="AP18" i="89"/>
  <c r="CU18" i="89"/>
  <c r="AD19" i="89"/>
  <c r="CX19" i="89"/>
  <c r="CY19" i="89" s="1"/>
  <c r="AC20" i="89"/>
  <c r="AP20" i="89"/>
  <c r="CU20" i="89"/>
  <c r="AD21" i="89"/>
  <c r="CX21" i="89"/>
  <c r="CY21" i="89" s="1"/>
  <c r="AC22" i="89"/>
  <c r="AP22" i="89"/>
  <c r="CU22" i="89"/>
  <c r="AD23" i="89"/>
  <c r="CX23" i="89"/>
  <c r="CY23" i="89" s="1"/>
  <c r="AC24" i="89"/>
  <c r="AP24" i="89"/>
  <c r="EL24" i="89"/>
  <c r="AR25" i="89"/>
  <c r="AP25" i="89"/>
  <c r="AC25" i="89"/>
  <c r="AQ25" i="89"/>
  <c r="CB25" i="89"/>
  <c r="CX25" i="89"/>
  <c r="CY25" i="89" s="1"/>
  <c r="AR27" i="89"/>
  <c r="AR31" i="89"/>
  <c r="DK25" i="89"/>
  <c r="EM26" i="89"/>
  <c r="AQ27" i="89"/>
  <c r="BA27" i="89"/>
  <c r="CX27" i="89"/>
  <c r="CY27" i="89" s="1"/>
  <c r="CZ27" i="89"/>
  <c r="DK27" i="89"/>
  <c r="EM28" i="89"/>
  <c r="AQ29" i="89"/>
  <c r="BA29" i="89"/>
  <c r="CX29" i="89"/>
  <c r="CY29" i="89" s="1"/>
  <c r="CZ29" i="89"/>
  <c r="DK29" i="89"/>
  <c r="EM30" i="89"/>
  <c r="AQ31" i="89"/>
  <c r="BA31" i="89"/>
  <c r="CX31" i="89"/>
  <c r="CY31" i="89" s="1"/>
  <c r="CZ31" i="89"/>
  <c r="DK31" i="89"/>
  <c r="EM32" i="89"/>
  <c r="AQ33" i="89"/>
  <c r="CW33" i="89"/>
  <c r="CY33" i="89" s="1"/>
  <c r="CU33" i="89"/>
  <c r="EL34" i="89"/>
  <c r="AD34" i="89"/>
  <c r="CZ35" i="89"/>
  <c r="CU25" i="89"/>
  <c r="AD26" i="89"/>
  <c r="CX26" i="89"/>
  <c r="CY26" i="89" s="1"/>
  <c r="AC27" i="89"/>
  <c r="AP27" i="89"/>
  <c r="CU27" i="89"/>
  <c r="AD28" i="89"/>
  <c r="CX28" i="89"/>
  <c r="CY28" i="89" s="1"/>
  <c r="AC29" i="89"/>
  <c r="AP29" i="89"/>
  <c r="CU29" i="89"/>
  <c r="AD30" i="89"/>
  <c r="CX30" i="89"/>
  <c r="CY30" i="89" s="1"/>
  <c r="AC31" i="89"/>
  <c r="AP31" i="89"/>
  <c r="CU31" i="89"/>
  <c r="AD32" i="89"/>
  <c r="CX32" i="89"/>
  <c r="CY32" i="89" s="1"/>
  <c r="AC33" i="89"/>
  <c r="AP33" i="89"/>
  <c r="BA33" i="89"/>
  <c r="DA33" i="89"/>
  <c r="CZ33" i="89"/>
  <c r="DK33" i="89"/>
  <c r="X34" i="89"/>
  <c r="CI34" i="89" s="1"/>
  <c r="EM34" i="89"/>
  <c r="AR35" i="89"/>
  <c r="AP35" i="89"/>
  <c r="AC35" i="89"/>
  <c r="AQ35" i="89"/>
  <c r="CB35" i="89"/>
  <c r="CX35" i="89"/>
  <c r="CW35" i="89"/>
  <c r="DA35" i="89" s="1"/>
  <c r="CU35" i="89"/>
  <c r="AR37" i="89"/>
  <c r="AR41" i="89"/>
  <c r="BA42" i="89"/>
  <c r="CC42" i="89" s="1"/>
  <c r="CB42" i="89" s="1"/>
  <c r="AQ42" i="89"/>
  <c r="AR42" i="89"/>
  <c r="AP42" i="89"/>
  <c r="AC42" i="89"/>
  <c r="EM36" i="89"/>
  <c r="AQ37" i="89"/>
  <c r="BA37" i="89"/>
  <c r="CX37" i="89"/>
  <c r="CY37" i="89" s="1"/>
  <c r="CZ37" i="89"/>
  <c r="DK37" i="89"/>
  <c r="EM38" i="89"/>
  <c r="AQ39" i="89"/>
  <c r="BA39" i="89"/>
  <c r="CX39" i="89"/>
  <c r="CY39" i="89" s="1"/>
  <c r="CZ39" i="89"/>
  <c r="DK39" i="89"/>
  <c r="EM40" i="89"/>
  <c r="AQ41" i="89"/>
  <c r="BA41" i="89"/>
  <c r="CX41" i="89"/>
  <c r="CY41" i="89" s="1"/>
  <c r="CZ41" i="89"/>
  <c r="DK41" i="89"/>
  <c r="EL42" i="89"/>
  <c r="EL43" i="89"/>
  <c r="AD43" i="89"/>
  <c r="CZ44" i="89"/>
  <c r="CC45" i="89"/>
  <c r="CB45" i="89" s="1"/>
  <c r="AA45" i="89"/>
  <c r="CZ45" i="89"/>
  <c r="AR46" i="89"/>
  <c r="AP46" i="89"/>
  <c r="AC46" i="89"/>
  <c r="AQ46" i="89"/>
  <c r="CW46" i="89"/>
  <c r="CY46" i="89" s="1"/>
  <c r="CU46" i="89"/>
  <c r="EL47" i="89"/>
  <c r="AD47" i="89"/>
  <c r="CZ48" i="89"/>
  <c r="CX34" i="89"/>
  <c r="CY34" i="89" s="1"/>
  <c r="AD36" i="89"/>
  <c r="CX36" i="89"/>
  <c r="CY36" i="89" s="1"/>
  <c r="AC37" i="89"/>
  <c r="AP37" i="89"/>
  <c r="CU37" i="89"/>
  <c r="AD38" i="89"/>
  <c r="CX38" i="89"/>
  <c r="CY38" i="89" s="1"/>
  <c r="AC39" i="89"/>
  <c r="AP39" i="89"/>
  <c r="CU39" i="89"/>
  <c r="AD40" i="89"/>
  <c r="CX40" i="89"/>
  <c r="CY40" i="89" s="1"/>
  <c r="AC41" i="89"/>
  <c r="AP41" i="89"/>
  <c r="CU41" i="89"/>
  <c r="CX42" i="89"/>
  <c r="CY42" i="89" s="1"/>
  <c r="DB42" i="89"/>
  <c r="CT42" i="89" s="1"/>
  <c r="X43" i="89"/>
  <c r="CI43" i="89" s="1"/>
  <c r="EM43" i="89"/>
  <c r="AR44" i="89"/>
  <c r="AP44" i="89"/>
  <c r="AC44" i="89"/>
  <c r="AQ44" i="89"/>
  <c r="CB44" i="89"/>
  <c r="CX44" i="89"/>
  <c r="CW44" i="89"/>
  <c r="DA44" i="89" s="1"/>
  <c r="CU44" i="89"/>
  <c r="EL45" i="89"/>
  <c r="CX45" i="89"/>
  <c r="CW45" i="89"/>
  <c r="DA45" i="89" s="1"/>
  <c r="CU45" i="89"/>
  <c r="DK45" i="89"/>
  <c r="DH45" i="89"/>
  <c r="BA46" i="89"/>
  <c r="DA46" i="89"/>
  <c r="CZ46" i="89"/>
  <c r="DK46" i="89"/>
  <c r="X47" i="89"/>
  <c r="CI47" i="89" s="1"/>
  <c r="EM47" i="89"/>
  <c r="AR48" i="89"/>
  <c r="AP48" i="89"/>
  <c r="AC48" i="89"/>
  <c r="AQ48" i="89"/>
  <c r="CB48" i="89"/>
  <c r="CX48" i="89"/>
  <c r="CY48" i="89" s="1"/>
  <c r="CW48" i="89"/>
  <c r="DA48" i="89" s="1"/>
  <c r="CU48" i="89"/>
  <c r="CX43" i="89"/>
  <c r="CY43" i="89" s="1"/>
  <c r="AP45" i="89"/>
  <c r="CX47" i="89"/>
  <c r="CY47" i="89" s="1"/>
  <c r="BY35" i="88"/>
  <c r="X34" i="88"/>
  <c r="CI34" i="88" s="1"/>
  <c r="AC34" i="88"/>
  <c r="AP34" i="88"/>
  <c r="AC35" i="88"/>
  <c r="AE35" i="88"/>
  <c r="BA35" i="88"/>
  <c r="AA35" i="88" s="1"/>
  <c r="DA35" i="88"/>
  <c r="AR17" i="88"/>
  <c r="EL17" i="88"/>
  <c r="DH17" i="88"/>
  <c r="EL18" i="88"/>
  <c r="DH18" i="88"/>
  <c r="DH20" i="88"/>
  <c r="X22" i="88"/>
  <c r="CI22" i="88" s="1"/>
  <c r="EL22" i="88"/>
  <c r="DA22" i="88"/>
  <c r="EL23" i="88"/>
  <c r="AE23" i="88"/>
  <c r="AR23" i="88" s="1"/>
  <c r="AE25" i="88"/>
  <c r="AR25" i="88" s="1"/>
  <c r="DA25" i="88"/>
  <c r="AE26" i="88"/>
  <c r="AR26" i="88" s="1"/>
  <c r="DA26" i="88"/>
  <c r="AE27" i="88"/>
  <c r="AR27" i="88" s="1"/>
  <c r="DA27" i="88"/>
  <c r="AE28" i="88"/>
  <c r="AR28" i="88" s="1"/>
  <c r="DA28" i="88"/>
  <c r="X29" i="88"/>
  <c r="CI29" i="88" s="1"/>
  <c r="EL29" i="88"/>
  <c r="DH29" i="88"/>
  <c r="BA34" i="88"/>
  <c r="CC34" i="88" s="1"/>
  <c r="CB34" i="88" s="1"/>
  <c r="EL34" i="88"/>
  <c r="AD36" i="88"/>
  <c r="BA36" i="88" s="1"/>
  <c r="AR18" i="88"/>
  <c r="AQ17" i="88"/>
  <c r="BA17" i="88"/>
  <c r="DB17" i="88" s="1"/>
  <c r="CT17" i="88" s="1"/>
  <c r="AQ18" i="88"/>
  <c r="BA18" i="88"/>
  <c r="DB18" i="88" s="1"/>
  <c r="CT18" i="88" s="1"/>
  <c r="EM18" i="88"/>
  <c r="BA19" i="88"/>
  <c r="CC19" i="88" s="1"/>
  <c r="AQ19" i="88"/>
  <c r="CW19" i="88"/>
  <c r="CY19" i="88" s="1"/>
  <c r="CU19" i="88"/>
  <c r="EL19" i="88"/>
  <c r="EL20" i="88"/>
  <c r="AD20" i="88"/>
  <c r="EL21" i="88"/>
  <c r="EM17" i="88"/>
  <c r="AC17" i="88"/>
  <c r="AP17" i="88"/>
  <c r="CX17" i="88"/>
  <c r="CY17" i="88" s="1"/>
  <c r="AC18" i="88"/>
  <c r="AP18" i="88"/>
  <c r="CX18" i="88"/>
  <c r="CY18" i="88" s="1"/>
  <c r="X19" i="88"/>
  <c r="CI19" i="88" s="1"/>
  <c r="CB19" i="88" s="1"/>
  <c r="AC19" i="88"/>
  <c r="AR19" i="88"/>
  <c r="CZ19" i="88"/>
  <c r="DK19" i="88"/>
  <c r="X20" i="88"/>
  <c r="CI20" i="88" s="1"/>
  <c r="EM20" i="88"/>
  <c r="AR21" i="88"/>
  <c r="AP21" i="88"/>
  <c r="AC21" i="88"/>
  <c r="BA21" i="88"/>
  <c r="AQ21" i="88"/>
  <c r="AR29" i="88"/>
  <c r="CX21" i="88"/>
  <c r="CY21" i="88" s="1"/>
  <c r="CZ21" i="88"/>
  <c r="DK21" i="88"/>
  <c r="EM22" i="88"/>
  <c r="AQ23" i="88"/>
  <c r="BA23" i="88"/>
  <c r="CX23" i="88"/>
  <c r="CY23" i="88" s="1"/>
  <c r="CZ23" i="88"/>
  <c r="DK23" i="88"/>
  <c r="CX24" i="88"/>
  <c r="CY24" i="88" s="1"/>
  <c r="CZ24" i="88"/>
  <c r="AQ25" i="88"/>
  <c r="BA25" i="88"/>
  <c r="EM25" i="88"/>
  <c r="AQ26" i="88"/>
  <c r="BA26" i="88"/>
  <c r="EM26" i="88"/>
  <c r="AQ27" i="88"/>
  <c r="BA27" i="88"/>
  <c r="EM27" i="88"/>
  <c r="AQ28" i="88"/>
  <c r="BA28" i="88"/>
  <c r="EM28" i="88"/>
  <c r="AQ29" i="88"/>
  <c r="BA29" i="88"/>
  <c r="EM29" i="88"/>
  <c r="CW30" i="88"/>
  <c r="CY30" i="88" s="1"/>
  <c r="CU30" i="88"/>
  <c r="DH30" i="88"/>
  <c r="DK30" i="88"/>
  <c r="CX20" i="88"/>
  <c r="CY20" i="88" s="1"/>
  <c r="CU21" i="88"/>
  <c r="AD22" i="88"/>
  <c r="CX22" i="88"/>
  <c r="CY22" i="88" s="1"/>
  <c r="AC23" i="88"/>
  <c r="AP23" i="88"/>
  <c r="CU23" i="88"/>
  <c r="AD24" i="88"/>
  <c r="CU24" i="88"/>
  <c r="DH24" i="88"/>
  <c r="AC25" i="88"/>
  <c r="AP25" i="88"/>
  <c r="CX25" i="88"/>
  <c r="CY25" i="88" s="1"/>
  <c r="AC26" i="88"/>
  <c r="AP26" i="88"/>
  <c r="CX26" i="88"/>
  <c r="CY26" i="88" s="1"/>
  <c r="AC27" i="88"/>
  <c r="AP27" i="88"/>
  <c r="CX27" i="88"/>
  <c r="CY27" i="88" s="1"/>
  <c r="AC28" i="88"/>
  <c r="AP28" i="88"/>
  <c r="CX28" i="88"/>
  <c r="CY28" i="88" s="1"/>
  <c r="AC29" i="88"/>
  <c r="AP29" i="88"/>
  <c r="CX29" i="88"/>
  <c r="CY29" i="88" s="1"/>
  <c r="AD30" i="88"/>
  <c r="EL30" i="88"/>
  <c r="CZ30" i="88"/>
  <c r="BA31" i="88"/>
  <c r="CC31" i="88" s="1"/>
  <c r="AQ31" i="88"/>
  <c r="CB31" i="88"/>
  <c r="AR31" i="88"/>
  <c r="AP31" i="88"/>
  <c r="AC31" i="88"/>
  <c r="BA32" i="88"/>
  <c r="CC32" i="88" s="1"/>
  <c r="AQ32" i="88"/>
  <c r="CB32" i="88"/>
  <c r="AR32" i="88"/>
  <c r="AP32" i="88"/>
  <c r="AC32" i="88"/>
  <c r="CC36" i="88"/>
  <c r="CB36" i="88" s="1"/>
  <c r="AA36" i="88"/>
  <c r="CX31" i="88"/>
  <c r="CY31" i="88" s="1"/>
  <c r="CZ31" i="88"/>
  <c r="DK31" i="88"/>
  <c r="EL31" i="88"/>
  <c r="CX32" i="88"/>
  <c r="CY32" i="88" s="1"/>
  <c r="CZ32" i="88"/>
  <c r="DK32" i="88"/>
  <c r="EL32" i="88"/>
  <c r="CX34" i="88"/>
  <c r="CY34" i="88" s="1"/>
  <c r="CZ34" i="88"/>
  <c r="DK34" i="88"/>
  <c r="CC35" i="88"/>
  <c r="CB35" i="88" s="1"/>
  <c r="EM35" i="88"/>
  <c r="AP36" i="88"/>
  <c r="AS36" i="88"/>
  <c r="CX36" i="88"/>
  <c r="CY36" i="88" s="1"/>
  <c r="CZ36" i="88"/>
  <c r="DK36" i="88"/>
  <c r="EL36" i="88"/>
  <c r="CU31" i="88"/>
  <c r="CU32" i="88"/>
  <c r="AA34" i="88"/>
  <c r="CU34" i="88"/>
  <c r="AP35" i="88"/>
  <c r="AS35" i="88"/>
  <c r="CX35" i="88"/>
  <c r="CY35" i="88" s="1"/>
  <c r="AC36" i="88"/>
  <c r="AR36" i="88"/>
  <c r="CU36" i="88"/>
  <c r="BY45" i="89" l="1"/>
  <c r="DB45" i="89"/>
  <c r="CT45" i="89" s="1"/>
  <c r="EM45" i="89"/>
  <c r="CY45" i="89"/>
  <c r="EM44" i="89"/>
  <c r="BY44" i="89"/>
  <c r="DB44" i="89"/>
  <c r="CT44" i="89" s="1"/>
  <c r="CY44" i="89"/>
  <c r="EM41" i="89"/>
  <c r="BY41" i="89"/>
  <c r="DB41" i="89"/>
  <c r="CT41" i="89" s="1"/>
  <c r="EM39" i="89"/>
  <c r="BY39" i="89"/>
  <c r="DB39" i="89"/>
  <c r="CT39" i="89"/>
  <c r="EM37" i="89"/>
  <c r="BY37" i="89"/>
  <c r="DB37" i="89"/>
  <c r="CT37" i="89"/>
  <c r="EM46" i="89"/>
  <c r="BY46" i="89"/>
  <c r="DB46" i="89"/>
  <c r="BA43" i="89"/>
  <c r="AQ43" i="89"/>
  <c r="AR43" i="89"/>
  <c r="AC43" i="89"/>
  <c r="AP43" i="89"/>
  <c r="CC41" i="89"/>
  <c r="CB41" i="89" s="1"/>
  <c r="AA41" i="89"/>
  <c r="CC37" i="89"/>
  <c r="CB37" i="89" s="1"/>
  <c r="AA37" i="89"/>
  <c r="AA42" i="89"/>
  <c r="BA32" i="89"/>
  <c r="AQ32" i="89"/>
  <c r="AR32" i="89"/>
  <c r="AP32" i="89"/>
  <c r="AC32" i="89"/>
  <c r="BA30" i="89"/>
  <c r="AQ30" i="89"/>
  <c r="AR30" i="89"/>
  <c r="AP30" i="89"/>
  <c r="AC30" i="89"/>
  <c r="BA28" i="89"/>
  <c r="AQ28" i="89"/>
  <c r="AR28" i="89"/>
  <c r="AP28" i="89"/>
  <c r="AC28" i="89"/>
  <c r="BA26" i="89"/>
  <c r="AQ26" i="89"/>
  <c r="AR26" i="89"/>
  <c r="AP26" i="89"/>
  <c r="AC26" i="89"/>
  <c r="BA34" i="89"/>
  <c r="AQ34" i="89"/>
  <c r="AR34" i="89"/>
  <c r="AC34" i="89"/>
  <c r="AP34" i="89"/>
  <c r="CC29" i="89"/>
  <c r="CB29" i="89" s="1"/>
  <c r="AA29" i="89"/>
  <c r="BA23" i="89"/>
  <c r="AQ23" i="89"/>
  <c r="AR23" i="89"/>
  <c r="AP23" i="89"/>
  <c r="AC23" i="89"/>
  <c r="BA21" i="89"/>
  <c r="AQ21" i="89"/>
  <c r="AR21" i="89"/>
  <c r="AP21" i="89"/>
  <c r="AC21" i="89"/>
  <c r="BA19" i="89"/>
  <c r="AQ19" i="89"/>
  <c r="AR19" i="89"/>
  <c r="AP19" i="89"/>
  <c r="AC19" i="89"/>
  <c r="BA17" i="89"/>
  <c r="AQ17" i="89"/>
  <c r="AR17" i="89"/>
  <c r="AP17" i="89"/>
  <c r="AC17" i="89"/>
  <c r="CC22" i="89"/>
  <c r="CB22" i="89" s="1"/>
  <c r="AA22" i="89"/>
  <c r="CC18" i="89"/>
  <c r="CB18" i="89" s="1"/>
  <c r="AA18" i="89"/>
  <c r="EM48" i="89"/>
  <c r="BY48" i="89"/>
  <c r="DB48" i="89"/>
  <c r="CC46" i="89"/>
  <c r="CB46" i="89" s="1"/>
  <c r="AA46" i="89"/>
  <c r="BA40" i="89"/>
  <c r="AQ40" i="89"/>
  <c r="AR40" i="89"/>
  <c r="AP40" i="89"/>
  <c r="AC40" i="89"/>
  <c r="BA38" i="89"/>
  <c r="AQ38" i="89"/>
  <c r="AR38" i="89"/>
  <c r="AP38" i="89"/>
  <c r="AC38" i="89"/>
  <c r="BA36" i="89"/>
  <c r="AQ36" i="89"/>
  <c r="AR36" i="89"/>
  <c r="AP36" i="89"/>
  <c r="AC36" i="89"/>
  <c r="BA47" i="89"/>
  <c r="AQ47" i="89"/>
  <c r="AR47" i="89"/>
  <c r="AC47" i="89"/>
  <c r="AP47" i="89"/>
  <c r="CC39" i="89"/>
  <c r="CB39" i="89" s="1"/>
  <c r="AA39" i="89"/>
  <c r="EM35" i="89"/>
  <c r="BY35" i="89"/>
  <c r="DB35" i="89"/>
  <c r="CT35" i="89" s="1"/>
  <c r="CY35" i="89"/>
  <c r="CC33" i="89"/>
  <c r="CB33" i="89" s="1"/>
  <c r="AA33" i="89"/>
  <c r="EM31" i="89"/>
  <c r="BY31" i="89"/>
  <c r="DB31" i="89"/>
  <c r="CT31" i="89" s="1"/>
  <c r="EM29" i="89"/>
  <c r="BY29" i="89"/>
  <c r="DB29" i="89"/>
  <c r="CT29" i="89"/>
  <c r="EM27" i="89"/>
  <c r="BY27" i="89"/>
  <c r="DB27" i="89"/>
  <c r="CT27" i="89"/>
  <c r="EM25" i="89"/>
  <c r="BY25" i="89"/>
  <c r="DB25" i="89"/>
  <c r="CT25" i="89"/>
  <c r="EM33" i="89"/>
  <c r="BY33" i="89"/>
  <c r="DB33" i="89"/>
  <c r="CC31" i="89"/>
  <c r="CB31" i="89" s="1"/>
  <c r="AA31" i="89"/>
  <c r="CC27" i="89"/>
  <c r="CB27" i="89" s="1"/>
  <c r="AA27" i="89"/>
  <c r="EM22" i="89"/>
  <c r="BY22" i="89"/>
  <c r="DB22" i="89"/>
  <c r="CT22" i="89" s="1"/>
  <c r="EM20" i="89"/>
  <c r="BY20" i="89"/>
  <c r="DB20" i="89"/>
  <c r="CT20" i="89" s="1"/>
  <c r="EM18" i="89"/>
  <c r="BY18" i="89"/>
  <c r="DB18" i="89"/>
  <c r="CT18" i="89"/>
  <c r="CC24" i="89"/>
  <c r="CB24" i="89" s="1"/>
  <c r="DB24" i="89"/>
  <c r="CT24" i="89" s="1"/>
  <c r="AA24" i="89"/>
  <c r="CC20" i="89"/>
  <c r="CB20" i="89" s="1"/>
  <c r="AA20" i="89"/>
  <c r="AA32" i="88"/>
  <c r="DA30" i="88"/>
  <c r="DA19" i="88"/>
  <c r="AA19" i="88"/>
  <c r="DB35" i="88"/>
  <c r="CT35" i="88" s="1"/>
  <c r="EM36" i="88"/>
  <c r="BY36" i="88"/>
  <c r="DB36" i="88"/>
  <c r="EM34" i="88"/>
  <c r="BY34" i="88"/>
  <c r="DB34" i="88"/>
  <c r="CT34" i="88" s="1"/>
  <c r="EM32" i="88"/>
  <c r="DB32" i="88"/>
  <c r="CT32" i="88" s="1"/>
  <c r="AA31" i="88"/>
  <c r="BA30" i="88"/>
  <c r="AQ30" i="88"/>
  <c r="AP30" i="88"/>
  <c r="AR30" i="88"/>
  <c r="AC30" i="88"/>
  <c r="BA24" i="88"/>
  <c r="AQ24" i="88"/>
  <c r="AR24" i="88"/>
  <c r="AP24" i="88"/>
  <c r="AC24" i="88"/>
  <c r="BA22" i="88"/>
  <c r="AQ22" i="88"/>
  <c r="AR22" i="88"/>
  <c r="AP22" i="88"/>
  <c r="AC22" i="88"/>
  <c r="CC29" i="88"/>
  <c r="CB29" i="88" s="1"/>
  <c r="AA29" i="88"/>
  <c r="CC27" i="88"/>
  <c r="CB27" i="88" s="1"/>
  <c r="AA27" i="88"/>
  <c r="CC25" i="88"/>
  <c r="CB25" i="88" s="1"/>
  <c r="AA25" i="88"/>
  <c r="CC23" i="88"/>
  <c r="CB23" i="88" s="1"/>
  <c r="AA23" i="88"/>
  <c r="CC21" i="88"/>
  <c r="CB21" i="88" s="1"/>
  <c r="AA21" i="88"/>
  <c r="DB29" i="88"/>
  <c r="CT29" i="88" s="1"/>
  <c r="BA20" i="88"/>
  <c r="AQ20" i="88"/>
  <c r="AR20" i="88"/>
  <c r="AC20" i="88"/>
  <c r="AP20" i="88"/>
  <c r="EM19" i="88"/>
  <c r="BY19" i="88"/>
  <c r="DB19" i="88"/>
  <c r="CT19" i="88" s="1"/>
  <c r="EM31" i="88"/>
  <c r="BY31" i="88"/>
  <c r="DB31" i="88"/>
  <c r="BY24" i="88"/>
  <c r="EM24" i="88"/>
  <c r="DB24" i="88"/>
  <c r="CT24" i="88" s="1"/>
  <c r="EM23" i="88"/>
  <c r="BY23" i="88"/>
  <c r="DB23" i="88"/>
  <c r="EM21" i="88"/>
  <c r="BY21" i="88"/>
  <c r="DB21" i="88"/>
  <c r="CT21" i="88" s="1"/>
  <c r="EM30" i="88"/>
  <c r="DB30" i="88"/>
  <c r="CT30" i="88" s="1"/>
  <c r="CC28" i="88"/>
  <c r="CB28" i="88" s="1"/>
  <c r="AA28" i="88"/>
  <c r="CC26" i="88"/>
  <c r="CB26" i="88" s="1"/>
  <c r="AA26" i="88"/>
  <c r="DB28" i="88"/>
  <c r="CT28" i="88" s="1"/>
  <c r="DB27" i="88"/>
  <c r="CT27" i="88" s="1"/>
  <c r="DB26" i="88"/>
  <c r="CT26" i="88" s="1"/>
  <c r="DB25" i="88"/>
  <c r="CT25" i="88" s="1"/>
  <c r="CC18" i="88"/>
  <c r="CB18" i="88" s="1"/>
  <c r="AA18" i="88"/>
  <c r="CC17" i="88"/>
  <c r="CB17" i="88" s="1"/>
  <c r="AA17" i="88"/>
  <c r="ED13" i="88"/>
  <c r="DV13" i="88"/>
  <c r="DW13" i="88" s="1"/>
  <c r="DF13" i="88"/>
  <c r="DA13" i="88"/>
  <c r="DB13" i="88" s="1"/>
  <c r="CZ13" i="88"/>
  <c r="CY13" i="88"/>
  <c r="CW13" i="88"/>
  <c r="CQ13" i="88"/>
  <c r="CP13" i="88"/>
  <c r="CU13" i="88" s="1"/>
  <c r="CI13" i="88"/>
  <c r="CD13" i="88"/>
  <c r="CC13" i="88"/>
  <c r="CA13" i="88"/>
  <c r="CT33" i="89" l="1"/>
  <c r="CT48" i="89"/>
  <c r="CT46" i="89"/>
  <c r="CC36" i="89"/>
  <c r="CB36" i="89" s="1"/>
  <c r="AA36" i="89"/>
  <c r="DB36" i="89"/>
  <c r="CT36" i="89" s="1"/>
  <c r="CC40" i="89"/>
  <c r="CB40" i="89" s="1"/>
  <c r="DB40" i="89"/>
  <c r="CT40" i="89" s="1"/>
  <c r="AA40" i="89"/>
  <c r="CC17" i="89"/>
  <c r="CB17" i="89" s="1"/>
  <c r="DB17" i="89"/>
  <c r="CT17" i="89" s="1"/>
  <c r="AA17" i="89"/>
  <c r="CC21" i="89"/>
  <c r="CB21" i="89" s="1"/>
  <c r="AA21" i="89"/>
  <c r="DB21" i="89"/>
  <c r="CT21" i="89" s="1"/>
  <c r="CC34" i="89"/>
  <c r="CB34" i="89" s="1"/>
  <c r="DB34" i="89"/>
  <c r="CT34" i="89" s="1"/>
  <c r="AA34" i="89"/>
  <c r="CC28" i="89"/>
  <c r="CB28" i="89" s="1"/>
  <c r="DB28" i="89"/>
  <c r="CT28" i="89" s="1"/>
  <c r="AA28" i="89"/>
  <c r="CC32" i="89"/>
  <c r="CB32" i="89" s="1"/>
  <c r="DB32" i="89"/>
  <c r="CT32" i="89" s="1"/>
  <c r="AA32" i="89"/>
  <c r="CC43" i="89"/>
  <c r="CB43" i="89" s="1"/>
  <c r="DB43" i="89"/>
  <c r="CT43" i="89" s="1"/>
  <c r="AA43" i="89"/>
  <c r="CC47" i="89"/>
  <c r="CB47" i="89" s="1"/>
  <c r="AA47" i="89"/>
  <c r="DB47" i="89"/>
  <c r="CT47" i="89" s="1"/>
  <c r="CC38" i="89"/>
  <c r="CB38" i="89" s="1"/>
  <c r="DB38" i="89"/>
  <c r="CT38" i="89" s="1"/>
  <c r="AA38" i="89"/>
  <c r="CC19" i="89"/>
  <c r="CB19" i="89" s="1"/>
  <c r="AA19" i="89"/>
  <c r="DB19" i="89"/>
  <c r="CT19" i="89" s="1"/>
  <c r="CC23" i="89"/>
  <c r="CB23" i="89" s="1"/>
  <c r="AA23" i="89"/>
  <c r="DB23" i="89"/>
  <c r="CT23" i="89" s="1"/>
  <c r="CC26" i="89"/>
  <c r="CB26" i="89" s="1"/>
  <c r="AA26" i="89"/>
  <c r="DB26" i="89"/>
  <c r="CT26" i="89" s="1"/>
  <c r="CC30" i="89"/>
  <c r="CB30" i="89" s="1"/>
  <c r="DB30" i="89"/>
  <c r="CT30" i="89" s="1"/>
  <c r="AA30" i="89"/>
  <c r="CT23" i="88"/>
  <c r="CT31" i="88"/>
  <c r="CT36" i="88"/>
  <c r="CC20" i="88"/>
  <c r="CB20" i="88" s="1"/>
  <c r="DB20" i="88"/>
  <c r="CT20" i="88" s="1"/>
  <c r="AA20" i="88"/>
  <c r="CC22" i="88"/>
  <c r="CB22" i="88" s="1"/>
  <c r="DB22" i="88"/>
  <c r="CT22" i="88" s="1"/>
  <c r="AA22" i="88"/>
  <c r="CC24" i="88"/>
  <c r="CB24" i="88" s="1"/>
  <c r="AA24" i="88"/>
  <c r="CC30" i="88"/>
  <c r="CB30" i="88" s="1"/>
  <c r="AA30" i="88"/>
  <c r="CO13" i="88"/>
  <c r="BZ13" i="88"/>
  <c r="EE13" i="88"/>
  <c r="CV13" i="88"/>
  <c r="CN13" i="88" s="1"/>
  <c r="CR13" i="88"/>
  <c r="CS13" i="88" s="1"/>
  <c r="CT13" i="88"/>
  <c r="DE13" i="88"/>
</calcChain>
</file>

<file path=xl/sharedStrings.xml><?xml version="1.0" encoding="utf-8"?>
<sst xmlns="http://schemas.openxmlformats.org/spreadsheetml/2006/main" count="1924" uniqueCount="300">
  <si>
    <t>TEN</t>
  </si>
  <si>
    <t>T1</t>
  </si>
  <si>
    <t>M1</t>
  </si>
  <si>
    <t>T2</t>
  </si>
  <si>
    <t>M2</t>
  </si>
  <si>
    <t>GT</t>
  </si>
  <si>
    <t>BAN TỔ CHỨC - CÁN BỘ</t>
  </si>
  <si>
    <t>Khoa Văn bản và Công nghệ hành chính</t>
  </si>
  <si>
    <t>MÃ SỐ NGẠCH</t>
  </si>
  <si>
    <t>GHI 
CHÚ</t>
  </si>
  <si>
    <t xml:space="preserve">           </t>
  </si>
  <si>
    <t>KT. TRƯỞNG BAN</t>
  </si>
  <si>
    <t>01.003</t>
  </si>
  <si>
    <t>Từ mức</t>
  </si>
  <si>
    <t>Lên mức</t>
  </si>
  <si>
    <t>Pc2</t>
  </si>
  <si>
    <t>CỘNG HÒA XÃ HỘI CHỦ NGHĨA VIỆT NAM</t>
  </si>
  <si>
    <t>Độc lập - Tự do - Hạnh phúc</t>
  </si>
  <si>
    <t>nhà giáo</t>
  </si>
  <si>
    <t>ĐỦ ĐIỀU KIỆN 
NÂNG PCTN</t>
  </si>
  <si>
    <t>Kể từ</t>
  </si>
  <si>
    <t>Thời gian Ko đc tính</t>
  </si>
  <si>
    <t>Thời gian giữ mức Pc</t>
  </si>
  <si>
    <t>Ds đủ ĐK nâng PC</t>
  </si>
  <si>
    <t>BP</t>
  </si>
  <si>
    <t>DV</t>
  </si>
  <si>
    <t>Ma Ngach</t>
  </si>
  <si>
    <t>Pc1</t>
  </si>
  <si>
    <t>m</t>
  </si>
  <si>
    <t>y</t>
  </si>
  <si>
    <t>Phó Trưởng bộ môn</t>
  </si>
  <si>
    <t>Bộ môn Khoa học hành chính,</t>
  </si>
  <si>
    <t>17</t>
  </si>
  <si>
    <t>20</t>
  </si>
  <si>
    <t>30</t>
  </si>
  <si>
    <t>SỐ
TT</t>
  </si>
  <si>
    <t>B</t>
  </si>
  <si>
    <t>(Đã ký)</t>
  </si>
  <si>
    <t>Tổng số:</t>
  </si>
  <si>
    <t>người</t>
  </si>
  <si>
    <t>03</t>
  </si>
  <si>
    <t>%</t>
  </si>
  <si>
    <t>Chuyên viên</t>
  </si>
  <si>
    <t>01</t>
  </si>
  <si>
    <t>02</t>
  </si>
  <si>
    <t>5</t>
  </si>
  <si>
    <t>6</t>
  </si>
  <si>
    <t>8</t>
  </si>
  <si>
    <t>3</t>
  </si>
  <si>
    <t>7</t>
  </si>
  <si>
    <t>9</t>
  </si>
  <si>
    <t>12</t>
  </si>
  <si>
    <t>15</t>
  </si>
  <si>
    <t>/</t>
  </si>
  <si>
    <t>A</t>
  </si>
  <si>
    <t>2011</t>
  </si>
  <si>
    <t>Phòng Quản trị,</t>
  </si>
  <si>
    <t>10</t>
  </si>
  <si>
    <t>11</t>
  </si>
  <si>
    <t>14</t>
  </si>
  <si>
    <t>1</t>
  </si>
  <si>
    <t>4</t>
  </si>
  <si>
    <t>2012</t>
  </si>
  <si>
    <t>Nam</t>
  </si>
  <si>
    <t>Nữ</t>
  </si>
  <si>
    <t>TT</t>
  </si>
  <si>
    <t>Ngày sinh</t>
  </si>
  <si>
    <t>Tháng</t>
  </si>
  <si>
    <t>GHI CHÚ</t>
  </si>
  <si>
    <t>Nam dưới 35</t>
  </si>
  <si>
    <r>
      <t xml:space="preserve">DANH SÁCH NHÀ GIÁO THUỘC HỌC VIỆN HÀNH CHÍNH 
CẦN ĐƯỢC GIẢI QUYẾT NÂNG PHỤ CẤP THÂM NIÊN TRONG THẤNG </t>
    </r>
    <r>
      <rPr>
        <b/>
        <sz val="13"/>
        <color indexed="12"/>
        <rFont val="Arial Narrow"/>
        <family val="2"/>
      </rPr>
      <t xml:space="preserve">10 NĂM 2013
</t>
    </r>
    <r>
      <rPr>
        <i/>
        <sz val="13"/>
        <color indexed="12"/>
        <rFont val="Arial Narrow"/>
        <family val="2"/>
      </rPr>
      <t>(Kèm theo Tờ  trình số 40/TTr-TCCB(P2) ngày  21 tháng 10 năm 2013 của Ban Tổ chức - Cán bộ)</t>
    </r>
  </si>
  <si>
    <t>HỌC VIỆN HÀNH CHÍNH QUỐC GIA</t>
  </si>
  <si>
    <t xml:space="preserve"> HỌC VIỆN HÀNH CHÍNH QUỐC GIA</t>
  </si>
  <si>
    <t>Chức danh nghề nghiệp</t>
  </si>
  <si>
    <t>Ngạch</t>
  </si>
  <si>
    <t>V.07.01.03</t>
  </si>
  <si>
    <t>Giảng viên cao cấp (hạng I)</t>
  </si>
  <si>
    <t>Giảng viên (hạng III)</t>
  </si>
  <si>
    <t>Giảng viên chính (hạng II)</t>
  </si>
  <si>
    <t>Ma so</t>
  </si>
  <si>
    <t>ĐỦ ĐIỀU KIỆN, TIÊU CHUẨN NÂNG LƯƠNG</t>
  </si>
  <si>
    <t>người lao động</t>
  </si>
  <si>
    <t xml:space="preserve"> CC, VC và NLĐ</t>
  </si>
  <si>
    <t>viên chức</t>
  </si>
  <si>
    <t>CC-VC-NLĐ</t>
  </si>
  <si>
    <t>CHÈN ĐIỀU CUỐI QĐ</t>
  </si>
  <si>
    <t xml:space="preserve">                       (người tiếp nhận: Vũ Thị Hồng Diệp, ĐT: 0438 359 295/ 01687.02.55.99).</t>
  </si>
  <si>
    <t xml:space="preserve">        và trên Website Học viện Hành chính Quốc gia.</t>
  </si>
  <si>
    <t xml:space="preserve">        (người tiếp nhận: Vũ Thị Hồng Diệp, ĐT: 0438 359 295/ 01687.02.55.99).</t>
  </si>
  <si>
    <t>Hệ số</t>
  </si>
  <si>
    <r>
      <t xml:space="preserve">        - Các ý kiến thắc mắc liên quan (nếu có), đề nghị phản hồi tới Ban Tổ chức - Cán bộ trước ngày</t>
    </r>
    <r>
      <rPr>
        <b/>
        <sz val="12"/>
        <rFont val="Arial Narrow"/>
        <family val="2"/>
      </rPr>
      <t xml:space="preserve"> 21/01</t>
    </r>
    <r>
      <rPr>
        <b/>
        <sz val="12"/>
        <color indexed="12"/>
        <rFont val="Arial Narrow"/>
        <family val="2"/>
      </rPr>
      <t>/2018</t>
    </r>
  </si>
  <si>
    <t>Bậc</t>
  </si>
  <si>
    <t>Mức</t>
  </si>
  <si>
    <t>Dieu 2</t>
  </si>
  <si>
    <t>CC, VC, NLĐ</t>
  </si>
  <si>
    <t>yy2</t>
  </si>
  <si>
    <t>mm2</t>
  </si>
  <si>
    <t>yy1</t>
  </si>
  <si>
    <t>mm1</t>
  </si>
  <si>
    <t>Hso 1</t>
  </si>
  <si>
    <t>Ngạch / CDNN</t>
  </si>
  <si>
    <t>Ten CDNN</t>
  </si>
  <si>
    <t>DV2</t>
  </si>
  <si>
    <t>DV1</t>
  </si>
  <si>
    <t>Ten</t>
  </si>
  <si>
    <t>Gtinh</t>
  </si>
  <si>
    <t>VK1</t>
  </si>
  <si>
    <t>Hso 2
-VK2</t>
  </si>
  <si>
    <r>
      <rPr>
        <b/>
        <sz val="12"/>
        <rFont val="Arial Narrow"/>
        <family val="2"/>
      </rPr>
      <t xml:space="preserve">* </t>
    </r>
    <r>
      <rPr>
        <b/>
        <u/>
        <sz val="12"/>
        <rFont val="Arial Narrow"/>
        <family val="2"/>
      </rPr>
      <t>Lưu ý</t>
    </r>
    <r>
      <rPr>
        <sz val="12"/>
        <rFont val="Arial Narrow"/>
        <family val="2"/>
      </rPr>
      <t xml:space="preserve">:  - Danh sách này được niêm yết công khai trên bảng tin nhà A tại trụ sở Học viện ở Hà Nội, bảng tin tại các  cơ sở, </t>
    </r>
  </si>
  <si>
    <t xml:space="preserve">                      phân viện thuộc Học viện và đăng tải trên Website Học viện Hành chính Quốc gia;</t>
  </si>
  <si>
    <t xml:space="preserve">         phân viện thuộc Học viện và đăng tải trên Website Học viện Hành chính Quốc gia;</t>
  </si>
  <si>
    <r>
      <t xml:space="preserve"> </t>
    </r>
    <r>
      <rPr>
        <b/>
        <sz val="12"/>
        <rFont val="Arial Narrow"/>
        <family val="2"/>
      </rPr>
      <t xml:space="preserve">* </t>
    </r>
    <r>
      <rPr>
        <b/>
        <u/>
        <sz val="12"/>
        <rFont val="Arial Narrow"/>
        <family val="2"/>
      </rPr>
      <t>Lưu ý:</t>
    </r>
    <r>
      <rPr>
        <b/>
        <sz val="12"/>
        <rFont val="Arial Narrow"/>
        <family val="2"/>
      </rPr>
      <t xml:space="preserve">   </t>
    </r>
    <r>
      <rPr>
        <sz val="12"/>
        <rFont val="Arial Narrow"/>
        <family val="2"/>
      </rPr>
      <t>- Danh sách này được niêm yết công khai trên bảng tin nhà A tại trụ sở Học viện ở Hà Nội, tại các cơ sở,</t>
    </r>
  </si>
  <si>
    <t>CC/ VC/ NLĐ</t>
  </si>
  <si>
    <t>Mức
PC
TNVK</t>
  </si>
  <si>
    <t>Số tháng</t>
  </si>
  <si>
    <t>Số
TT</t>
  </si>
  <si>
    <t>Họ tên</t>
  </si>
  <si>
    <t>Giới tính</t>
  </si>
  <si>
    <t>Đơn vị</t>
  </si>
  <si>
    <t>Kể từ ngày 01 tháng</t>
  </si>
  <si>
    <t>PCTN 
hiện hưởng</t>
  </si>
  <si>
    <t>Thời gian kéo dài/ không tính vào thời gian xét nâng lương</t>
  </si>
  <si>
    <t>Thời gian không tính vào thời gian tính hưởng PCTN</t>
  </si>
  <si>
    <t>PCTN xét nâng</t>
  </si>
  <si>
    <t>Lương/ PCTNVK
hiện hưởng</t>
  </si>
  <si>
    <t>Hệ số lương/ PCTNVK</t>
  </si>
  <si>
    <t>Lý do kéo dài/ không tính</t>
  </si>
  <si>
    <t>Lý do không tính</t>
  </si>
  <si>
    <t>Lương/ PCTNVK
xét nâng, hưởng</t>
  </si>
  <si>
    <t>Ngạch/CDNN
 và mã số</t>
  </si>
  <si>
    <t>Chức danh nghề nghiệp
 và mã số</t>
  </si>
  <si>
    <t>PHÓ TRƯỞNG BAN PHỤ TRÁCH</t>
  </si>
  <si>
    <t>Phó Trưởng phòng</t>
  </si>
  <si>
    <t>Phòng Bồi dưỡng cán bộ, công chức, viên chức,</t>
  </si>
  <si>
    <t>Ban Quản lý bồi dưỡng</t>
  </si>
  <si>
    <t>1982</t>
  </si>
  <si>
    <t>Phòng Đào tạo chuyển đổi để thi cao học,</t>
  </si>
  <si>
    <t>Nguyễn Thị Ngọc Lan</t>
  </si>
  <si>
    <t>Bộ môn quản lý và phát triển tổ chức bộ máy</t>
  </si>
  <si>
    <t>Khoa Khoa học hành chính và Tổ chức nhân sự</t>
  </si>
  <si>
    <t>Bộ môn Tổ chức bộ máy,</t>
  </si>
  <si>
    <t>Trương Thị Ngọc Lan</t>
  </si>
  <si>
    <t>Bộ môn Dân số - Lao động - Bảo trợ xã hội,</t>
  </si>
  <si>
    <t>Khoa Quản lý nhà nước về Xã hội</t>
  </si>
  <si>
    <t>Ban Quản lý đào tạo Sau đại học</t>
  </si>
  <si>
    <t>Kế toán viên</t>
  </si>
  <si>
    <t>Trung tâm Ngoại ngữ - Tin học và Thông tin - Thư viện</t>
  </si>
  <si>
    <t>1977</t>
  </si>
  <si>
    <t>22</t>
  </si>
  <si>
    <t>Phân viện Học viện Hành chính Quốc gia tại thành phố Huế</t>
  </si>
  <si>
    <t>Phân viện Học viện Hành chính Quốc gia khu vực Tây Nguyên</t>
  </si>
  <si>
    <t>28</t>
  </si>
  <si>
    <t>Phòng Tài vụ - Kế toán,</t>
  </si>
  <si>
    <t>Bộ môn Mác - Lê nin và Tư tưởng Hồ Chí Minh,</t>
  </si>
  <si>
    <t>Phân viện Học viện Hành chính Quốc gia tại Thành phố Hồ Chí Minh</t>
  </si>
  <si>
    <t>1978</t>
  </si>
  <si>
    <t>Phạm Quang Huy</t>
  </si>
  <si>
    <t>1955</t>
  </si>
  <si>
    <t>Nguyên Phó Giám đốc Học viện</t>
  </si>
  <si>
    <t>Bộ môn Nhà nước và Pháp luật,</t>
  </si>
  <si>
    <t>Trưởng bộ môn</t>
  </si>
  <si>
    <t>Bộ môn Thanh tra,</t>
  </si>
  <si>
    <t>Khoa Nhà nước - Pháp luật và Lý luận cơ sở</t>
  </si>
  <si>
    <t>13</t>
  </si>
  <si>
    <t>Khoa Quản lý nhà nước về Kinh tế và Tài chính công</t>
  </si>
  <si>
    <t>27</t>
  </si>
  <si>
    <t>Trần Trọng Đức</t>
  </si>
  <si>
    <t>Phó Trưởng khoa</t>
  </si>
  <si>
    <t>Bộ môn Quản lý nhà nước về Xã hội,</t>
  </si>
  <si>
    <t>CN</t>
  </si>
  <si>
    <t>PHÓ TRƯỞNG BAN</t>
  </si>
  <si>
    <t>TRƯỞNG BAN THƯ KÝ HỘI ĐỒNG LƯƠNG
Nguyễn Tiến Đạo</t>
  </si>
  <si>
    <r>
      <t xml:space="preserve">TRƯỞNG BAN THƯ KÝ HỘI ĐỒNG LƯƠNG
</t>
    </r>
    <r>
      <rPr>
        <b/>
        <sz val="13"/>
        <rFont val="Arial Narrow"/>
        <family val="2"/>
      </rPr>
      <t>Nguyễn Tiến Đạo</t>
    </r>
  </si>
  <si>
    <t>Lê Phương Thúy</t>
  </si>
  <si>
    <t>1973</t>
  </si>
  <si>
    <t>Trưởng phòng</t>
  </si>
  <si>
    <t>Khoa Đào tạo, bồi dưỡng công chức và Tại chức</t>
  </si>
  <si>
    <t>Đàm Thị Thanh Tâm</t>
  </si>
  <si>
    <t>1976</t>
  </si>
  <si>
    <t>Trần Quang Trung</t>
  </si>
  <si>
    <t>07</t>
  </si>
  <si>
    <t>Chuyên viên chính</t>
  </si>
  <si>
    <t>Phan Anh Hồng</t>
  </si>
  <si>
    <t>Khoa Tổ chức và Quản lý nhân sự</t>
  </si>
  <si>
    <t>Vũ Thị Mỹ Hằng</t>
  </si>
  <si>
    <t>Bộ môn Khoa học chính trị,</t>
  </si>
  <si>
    <t>Đã nâng sớm</t>
  </si>
  <si>
    <t>Khoa Lý luận cơ sở</t>
  </si>
  <si>
    <t>Bộ môn Chính trị học,</t>
  </si>
  <si>
    <t>Hoàng Thị Bích Loan</t>
  </si>
  <si>
    <t>23</t>
  </si>
  <si>
    <t>Bộ môn Nguyên lý Kinh tế,</t>
  </si>
  <si>
    <t>Khoa Quản lý nhà nước về Kinh tế</t>
  </si>
  <si>
    <t>Trịnh Ngọc Thu</t>
  </si>
  <si>
    <t>Bộ môn Quản lý nhà nước về Đô thị</t>
  </si>
  <si>
    <t>Khoa Quản lý nhà nước về Đô thị và Nông thôn</t>
  </si>
  <si>
    <t>Hà Văn Nghĩa</t>
  </si>
  <si>
    <t>Phòng Đào tạo đại học,</t>
  </si>
  <si>
    <t>Phòng Quản lý đào tạo và Phát triển nhân lực hành chính</t>
  </si>
  <si>
    <t>TỔNG CỘNG:</t>
  </si>
  <si>
    <t>Ban Đào tạo</t>
  </si>
  <si>
    <t>Vũ Minh Huệ</t>
  </si>
  <si>
    <t>24</t>
  </si>
  <si>
    <t>Phó Trưởng ban (cấp phòng)</t>
  </si>
  <si>
    <t>Ban Biên tập,</t>
  </si>
  <si>
    <t>Tạp chí Quản lý nhà nước</t>
  </si>
  <si>
    <t>Biên tập viên hạng III</t>
  </si>
  <si>
    <t>17.141</t>
  </si>
  <si>
    <t>Lê Thị Quỳnh Nga</t>
  </si>
  <si>
    <t>Phòng Quản lý khoa học và Đào tạo,</t>
  </si>
  <si>
    <t>Viện Nghiên cứu Khoa học hành chính</t>
  </si>
  <si>
    <t>Trung tâm Tư liệu và Thông tin khoa học hành chính,</t>
  </si>
  <si>
    <t>Hoàng Thị Mỹ Lai</t>
  </si>
  <si>
    <t>Cán sự</t>
  </si>
  <si>
    <t>26</t>
  </si>
  <si>
    <t>Cơ sở Học viện Hành chính Quốc gia khu vực miền Trung</t>
  </si>
  <si>
    <t>Trần Thị Mai</t>
  </si>
  <si>
    <t>1986</t>
  </si>
  <si>
    <t>Khoa Lý luận cơ sở và Quản lý nhà nước,</t>
  </si>
  <si>
    <t>Phân viện khu vực Tây Nguyên</t>
  </si>
  <si>
    <t>Trần Văn Đởn</t>
  </si>
  <si>
    <t>05</t>
  </si>
  <si>
    <t>1959</t>
  </si>
  <si>
    <t>Trần Thị Hồng Hạnh</t>
  </si>
  <si>
    <t xml:space="preserve">Bộ môn Quản lý nhà nước về Kinh tế, </t>
  </si>
  <si>
    <t>Cơ sở Học viện Hành chính Quốc gia tại Thành phố Hồ Chí Minh</t>
  </si>
  <si>
    <t>Nguyễn Thị Giang</t>
  </si>
  <si>
    <t>1989</t>
  </si>
  <si>
    <t>Xếp lại 10/2010</t>
  </si>
  <si>
    <t>Nguyễn Phúc Hải</t>
  </si>
  <si>
    <t>1988</t>
  </si>
  <si>
    <t>Phòng Ngoại ngữ - Tin học và Thông tin - Thư viện</t>
  </si>
  <si>
    <t>Trung tâm Ngoại ngữ - Tin học,</t>
  </si>
  <si>
    <r>
      <t>ĐỦ ĐIỀU KIỆN, TIÊU CHUẨN XÉT HƯỞNG, NÂNG PHỤ CẤP THÂM NIÊN VƯỢT KHUNG:</t>
    </r>
    <r>
      <rPr>
        <b/>
        <sz val="10"/>
        <color rgb="FF0000FF"/>
        <rFont val="Arial Narrow"/>
        <family val="2"/>
      </rPr>
      <t xml:space="preserve"> 03 TRƯỜNG HỢP</t>
    </r>
  </si>
  <si>
    <t>Nguyễn Văn Vinh</t>
  </si>
  <si>
    <t>1962</t>
  </si>
  <si>
    <t>Nhân viên kỹ thuật</t>
  </si>
  <si>
    <t>Văn phòng,</t>
  </si>
  <si>
    <t>Phan Anh Thế</t>
  </si>
  <si>
    <t>Ko hạn</t>
  </si>
  <si>
    <t>Phòng Tổ chức - Hành chính,</t>
  </si>
  <si>
    <t>Lái xe cơ quan</t>
  </si>
  <si>
    <r>
      <t>ĐỦ ĐIỀU KIỆN, TIÊU CHUẨN XÉT NÂNG BẬC LƯƠNG THƯỜNG XUYÊN: 16</t>
    </r>
    <r>
      <rPr>
        <b/>
        <sz val="10"/>
        <color rgb="FF0000FF"/>
        <rFont val="Arial Narrow"/>
        <family val="2"/>
      </rPr>
      <t xml:space="preserve"> TRƯỜNG HỢP </t>
    </r>
  </si>
  <si>
    <t xml:space="preserve">Hà Nội, ngày 14  tháng 5 năm 2018 </t>
  </si>
  <si>
    <r>
      <t>DANH SÁCH CÔNG CHỨC, VIÊN CHỨC VÀ NGƯỜI LAO ĐỘNG THUỘC HỌC VIỆN HÀNH CHÍNH QUỐC GIA
ĐỦ ĐIỀU KIỆN, TIÊU CHUẨN XÉT NÂNG BẬC LƯƠNG THƯỜNG XUYÊN, XÉT HƯỞNG, NÂNG PHỤ CẤP THÂM NIÊN VƯỢT KHUNG
TRONG THÁNG 5</t>
    </r>
    <r>
      <rPr>
        <b/>
        <sz val="12"/>
        <color rgb="FF0000FF"/>
        <rFont val="Arial Narrow"/>
        <family val="2"/>
      </rPr>
      <t xml:space="preserve"> NĂM 2018</t>
    </r>
  </si>
  <si>
    <r>
      <t xml:space="preserve">        - Các ý kiến thắc mắc liên quan (nếu có), đề nghị phản hồi tới Ban Tổ chức - Cán bộ hạn cuối vào ngày</t>
    </r>
    <r>
      <rPr>
        <b/>
        <sz val="12"/>
        <rFont val="Arial Narrow"/>
        <family val="2"/>
      </rPr>
      <t xml:space="preserve"> </t>
    </r>
    <r>
      <rPr>
        <b/>
        <sz val="12"/>
        <color rgb="FF0000FF"/>
        <rFont val="Arial Narrow"/>
        <family val="2"/>
      </rPr>
      <t>25/5/2018</t>
    </r>
  </si>
  <si>
    <t>Vũ Quốc Thắng</t>
  </si>
  <si>
    <t>31</t>
  </si>
  <si>
    <t>Bộ môn Ngoại ngữ</t>
  </si>
  <si>
    <t>Đỗ Hoàng Mai</t>
  </si>
  <si>
    <t>Nguyễn Tuấn Minh</t>
  </si>
  <si>
    <t>Khoa Hành chính học</t>
  </si>
  <si>
    <t>Phạm Thị Thanh Huyền</t>
  </si>
  <si>
    <t>Lê Cẩm Hà</t>
  </si>
  <si>
    <t>Bộ môn Quản lý nguồn nhân lực tổ chức</t>
  </si>
  <si>
    <t>Bộ môn Tổ chức nhân sự,</t>
  </si>
  <si>
    <t>Lê Thị Hoa</t>
  </si>
  <si>
    <t>Bộ môn Lý luận nhà nước và pháp luật,</t>
  </si>
  <si>
    <t>Khoa Nhà nước và Pháp luật</t>
  </si>
  <si>
    <t>Bùi Thị Hải</t>
  </si>
  <si>
    <t>Lê Đình Lung</t>
  </si>
  <si>
    <t>Lê Thị Hằng</t>
  </si>
  <si>
    <t>08</t>
  </si>
  <si>
    <t>Bộ môn Những nguyên lý cơ bản của Chủ nghĩa Mác - Lê nin,</t>
  </si>
  <si>
    <t>Vũ Thị Thu Hằng</t>
  </si>
  <si>
    <t>Bộ môn Kỹ năng quản lý nhà nước về kinh tế,</t>
  </si>
  <si>
    <t>Phạm Thị Thanh Vân</t>
  </si>
  <si>
    <t>Bộ môn Kế toán - Kiểm toán,</t>
  </si>
  <si>
    <t>Khoa Quản lý Tài chính công</t>
  </si>
  <si>
    <t>Trần Thị Phương Thảo</t>
  </si>
  <si>
    <t>Khuất Việt Hải</t>
  </si>
  <si>
    <t>Bộ môn Quản lý ngân sách nhà nước,</t>
  </si>
  <si>
    <t>Nguyễn Thị Thu Hương</t>
  </si>
  <si>
    <t>Nguyễn Thị Thanh Bình</t>
  </si>
  <si>
    <t>Trịnh Đức Hưng</t>
  </si>
  <si>
    <t>Bộ môn Khoa học - Tôn giáo - An ninh,</t>
  </si>
  <si>
    <t>Hoàng Xuân Tuyền</t>
  </si>
  <si>
    <t>21</t>
  </si>
  <si>
    <t>1966</t>
  </si>
  <si>
    <t>Bộ môn Kỹ thuật hành chính,</t>
  </si>
  <si>
    <t>Lê Ngọc Hồng</t>
  </si>
  <si>
    <t>Nguyễn Thị Quế Hương</t>
  </si>
  <si>
    <t>09</t>
  </si>
  <si>
    <t>1979</t>
  </si>
  <si>
    <t>Trung tâm Tin học hành chính và Công nghệ thông tin</t>
  </si>
  <si>
    <t>Trần Anh Hùng</t>
  </si>
  <si>
    <t>Bộ môn Khoa học hành chính và Tổ chức nhân sự</t>
  </si>
  <si>
    <t>Bộ môn Hành chính học,</t>
  </si>
  <si>
    <t>Hà Mai Anh</t>
  </si>
  <si>
    <t>Trần Đức Tuấn</t>
  </si>
  <si>
    <t>Vũ Tất Đạt</t>
  </si>
  <si>
    <t>Trương Thị Như Lan</t>
  </si>
  <si>
    <t>Bộ môn Ngoại ngữ,</t>
  </si>
  <si>
    <t>Bùi Thị Mai</t>
  </si>
  <si>
    <t>Phạm Thị Thúy</t>
  </si>
  <si>
    <t>Mai Đình Lâm</t>
  </si>
  <si>
    <t>Bộ môn Quản lý Tài chính công,</t>
  </si>
  <si>
    <r>
      <t>DANH SÁCH NHÀ GIÁO THUỘC HỌC VIỆN HÀNH CHÍNH QUỐC GIA ĐỦ ĐIỀU KIỆN XÉT NÂNG PHỤ CẤP THÂM NIÊN 
TRONG THÁNG 5</t>
    </r>
    <r>
      <rPr>
        <b/>
        <sz val="12"/>
        <color rgb="FF0000FF"/>
        <rFont val="Arial"/>
        <family val="2"/>
      </rPr>
      <t xml:space="preserve"> NĂM 2018</t>
    </r>
  </si>
  <si>
    <t xml:space="preserve">Hà Nội, ngày 14 tháng 5 năm 2018 </t>
  </si>
  <si>
    <r>
      <t xml:space="preserve">                      - Các ý kiến thắc mắc liên quan (nếu có), đề nghị phản hồi tới Ban Tổ chức - Cán bộ hạn cuối vào ngày</t>
    </r>
    <r>
      <rPr>
        <sz val="12"/>
        <color rgb="FF0000FF"/>
        <rFont val="Arial Narrow"/>
        <family val="2"/>
      </rPr>
      <t xml:space="preserve"> 25</t>
    </r>
    <r>
      <rPr>
        <b/>
        <sz val="12"/>
        <color rgb="FF0000FF"/>
        <rFont val="Arial Narrow"/>
        <family val="2"/>
      </rPr>
      <t>/5/2018</t>
    </r>
  </si>
</sst>
</file>

<file path=xl/styles.xml><?xml version="1.0" encoding="utf-8"?>
<styleSheet xmlns="http://schemas.openxmlformats.org/spreadsheetml/2006/main" xmlns:mc="http://schemas.openxmlformats.org/markup-compatibility/2006" xmlns:x14ac="http://schemas.microsoft.com/office/spreadsheetml/2009/9/ac" mc:Ignorable="x14ac">
  <fonts count="64" x14ac:knownFonts="1">
    <font>
      <sz val="10"/>
      <name val="Arial"/>
    </font>
    <font>
      <b/>
      <sz val="10"/>
      <name val="Arial"/>
      <family val="2"/>
    </font>
    <font>
      <sz val="10"/>
      <name val="Arial"/>
      <family val="2"/>
    </font>
    <font>
      <sz val="9"/>
      <name val="Arial"/>
      <family val="2"/>
    </font>
    <font>
      <sz val="12"/>
      <name val="Arial"/>
      <family val="2"/>
    </font>
    <font>
      <b/>
      <sz val="12"/>
      <name val="Arial"/>
      <family val="2"/>
    </font>
    <font>
      <i/>
      <sz val="10"/>
      <name val="Arial"/>
      <family val="2"/>
    </font>
    <font>
      <b/>
      <sz val="13"/>
      <name val="Arial"/>
      <family val="2"/>
    </font>
    <font>
      <b/>
      <sz val="11"/>
      <name val="Arial"/>
      <family val="2"/>
    </font>
    <font>
      <b/>
      <sz val="13"/>
      <name val="Arial Narrow"/>
      <family val="2"/>
    </font>
    <font>
      <b/>
      <sz val="13"/>
      <color indexed="12"/>
      <name val="Arial Narrow"/>
      <family val="2"/>
    </font>
    <font>
      <b/>
      <sz val="10"/>
      <name val="Arial Narrow"/>
      <family val="2"/>
    </font>
    <font>
      <b/>
      <sz val="8"/>
      <name val="Arial Narrow"/>
      <family val="2"/>
    </font>
    <font>
      <b/>
      <sz val="12"/>
      <name val="Arial Narrow"/>
      <family val="2"/>
    </font>
    <font>
      <sz val="12"/>
      <name val="Arial Narrow"/>
      <family val="2"/>
    </font>
    <font>
      <b/>
      <sz val="12"/>
      <color indexed="12"/>
      <name val="Arial Narrow"/>
      <family val="2"/>
    </font>
    <font>
      <sz val="8"/>
      <name val="Arial Narrow"/>
      <family val="2"/>
    </font>
    <font>
      <b/>
      <sz val="8"/>
      <color indexed="12"/>
      <name val="Arial Narrow"/>
      <family val="2"/>
    </font>
    <font>
      <sz val="8"/>
      <color indexed="12"/>
      <name val="Arial Narrow"/>
      <family val="2"/>
    </font>
    <font>
      <b/>
      <sz val="9"/>
      <name val="Arial Narrow"/>
      <family val="2"/>
    </font>
    <font>
      <sz val="9"/>
      <name val="Arial Narrow"/>
      <family val="2"/>
    </font>
    <font>
      <b/>
      <sz val="11"/>
      <name val="Arial Narrow"/>
      <family val="2"/>
    </font>
    <font>
      <sz val="10"/>
      <name val="Arial Narrow"/>
      <family val="2"/>
    </font>
    <font>
      <sz val="8"/>
      <color indexed="10"/>
      <name val="Arial Narrow"/>
      <family val="2"/>
    </font>
    <font>
      <sz val="9"/>
      <color indexed="13"/>
      <name val="Arial Narrow"/>
      <family val="2"/>
    </font>
    <font>
      <sz val="11"/>
      <name val="Arial Narrow"/>
      <family val="2"/>
    </font>
    <font>
      <sz val="12"/>
      <color indexed="12"/>
      <name val="Arial Narrow"/>
      <family val="2"/>
    </font>
    <font>
      <b/>
      <i/>
      <sz val="11"/>
      <name val="Arial Narrow"/>
      <family val="2"/>
    </font>
    <font>
      <i/>
      <sz val="12"/>
      <name val="Arial Narrow"/>
      <family val="2"/>
    </font>
    <font>
      <i/>
      <sz val="13"/>
      <color indexed="12"/>
      <name val="Arial Narrow"/>
      <family val="2"/>
    </font>
    <font>
      <b/>
      <i/>
      <sz val="12"/>
      <color indexed="9"/>
      <name val="Arial Narrow"/>
      <family val="2"/>
    </font>
    <font>
      <b/>
      <sz val="10"/>
      <color indexed="12"/>
      <name val="Arial Narrow"/>
      <family val="2"/>
    </font>
    <font>
      <sz val="11"/>
      <color theme="0"/>
      <name val="Arial Narrow"/>
      <family val="2"/>
    </font>
    <font>
      <b/>
      <u/>
      <sz val="12"/>
      <name val="Arial Narrow"/>
      <family val="2"/>
    </font>
    <font>
      <sz val="12"/>
      <color indexed="8"/>
      <name val="Arial Narrow"/>
      <family val="2"/>
    </font>
    <font>
      <sz val="12"/>
      <color indexed="13"/>
      <name val="Arial Narrow"/>
      <family val="2"/>
    </font>
    <font>
      <sz val="12"/>
      <color indexed="58"/>
      <name val="Arial Narrow"/>
      <family val="2"/>
    </font>
    <font>
      <sz val="12"/>
      <color indexed="16"/>
      <name val="Arial Narrow"/>
      <family val="2"/>
    </font>
    <font>
      <b/>
      <sz val="12"/>
      <color rgb="FF0000FF"/>
      <name val="Arial"/>
      <family val="2"/>
    </font>
    <font>
      <b/>
      <sz val="10"/>
      <color theme="0"/>
      <name val="Arial Narrow"/>
      <family val="2"/>
    </font>
    <font>
      <sz val="10"/>
      <color theme="0"/>
      <name val="Arial Narrow"/>
      <family val="2"/>
    </font>
    <font>
      <sz val="10"/>
      <color rgb="FF800000"/>
      <name val="Arial Narrow"/>
      <family val="2"/>
    </font>
    <font>
      <b/>
      <sz val="12"/>
      <color theme="0"/>
      <name val="Arial"/>
      <family val="2"/>
    </font>
    <font>
      <sz val="12"/>
      <color theme="0"/>
      <name val="Arial Narrow"/>
      <family val="2"/>
    </font>
    <font>
      <i/>
      <sz val="12"/>
      <color theme="0"/>
      <name val="Arial Narrow"/>
      <family val="2"/>
    </font>
    <font>
      <b/>
      <sz val="13"/>
      <color theme="0"/>
      <name val="Arial"/>
      <family val="2"/>
    </font>
    <font>
      <b/>
      <sz val="12"/>
      <color rgb="FF0000FF"/>
      <name val="Arial Narrow"/>
      <family val="2"/>
    </font>
    <font>
      <sz val="12"/>
      <color rgb="FF0000FF"/>
      <name val="Arial Narrow"/>
      <family val="2"/>
    </font>
    <font>
      <i/>
      <sz val="12"/>
      <color rgb="FF0000FF"/>
      <name val="Arial Narrow"/>
      <family val="2"/>
    </font>
    <font>
      <sz val="10"/>
      <color rgb="FF0000FF"/>
      <name val="Arial Narrow"/>
      <family val="2"/>
    </font>
    <font>
      <b/>
      <sz val="10"/>
      <color rgb="FF0000FF"/>
      <name val="Arial Narrow"/>
      <family val="2"/>
    </font>
    <font>
      <i/>
      <sz val="10"/>
      <name val="Arial Narrow"/>
      <family val="2"/>
    </font>
    <font>
      <i/>
      <sz val="11"/>
      <name val="Arial Narrow"/>
      <family val="2"/>
    </font>
    <font>
      <b/>
      <sz val="10"/>
      <color indexed="9"/>
      <name val="Arial Narrow"/>
      <family val="2"/>
    </font>
    <font>
      <sz val="10"/>
      <color indexed="8"/>
      <name val="Arial Narrow"/>
      <family val="2"/>
    </font>
    <font>
      <sz val="10"/>
      <color indexed="58"/>
      <name val="Arial Narrow"/>
      <family val="2"/>
    </font>
    <font>
      <sz val="13"/>
      <name val="Arial Narrow"/>
      <family val="2"/>
    </font>
    <font>
      <b/>
      <i/>
      <sz val="12"/>
      <color theme="0"/>
      <name val="Arial Narrow"/>
      <family val="2"/>
    </font>
    <font>
      <i/>
      <sz val="10"/>
      <color theme="0"/>
      <name val="Arial"/>
      <family val="2"/>
    </font>
    <font>
      <sz val="10"/>
      <color theme="0"/>
      <name val="Arial"/>
      <family val="2"/>
    </font>
    <font>
      <b/>
      <i/>
      <sz val="12"/>
      <color rgb="FF0000FF"/>
      <name val="Arial Narrow"/>
      <family val="2"/>
    </font>
    <font>
      <b/>
      <i/>
      <sz val="12"/>
      <color rgb="FF0000FF"/>
      <name val="Arial"/>
      <family val="2"/>
    </font>
    <font>
      <sz val="10"/>
      <color rgb="FFFF0000"/>
      <name val="Arial Narrow"/>
      <family val="2"/>
    </font>
    <font>
      <sz val="10"/>
      <color indexed="9"/>
      <name val="Arial Narrow"/>
      <family val="2"/>
    </font>
  </fonts>
  <fills count="1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22"/>
        <bgColor indexed="64"/>
      </patternFill>
    </fill>
    <fill>
      <patternFill patternType="solid">
        <fgColor indexed="44"/>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2"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right style="dotted">
        <color indexed="64"/>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diagonal/>
    </border>
    <border>
      <left style="dotted">
        <color indexed="64"/>
      </left>
      <right/>
      <top/>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bottom style="double">
        <color indexed="64"/>
      </bottom>
      <diagonal/>
    </border>
  </borders>
  <cellStyleXfs count="1">
    <xf numFmtId="0" fontId="0" fillId="0" borderId="0"/>
  </cellStyleXfs>
  <cellXfs count="869">
    <xf numFmtId="0" fontId="0" fillId="0" borderId="0" xfId="0"/>
    <xf numFmtId="1" fontId="4" fillId="2" borderId="0" xfId="0" applyNumberFormat="1" applyFont="1" applyFill="1" applyBorder="1" applyAlignment="1"/>
    <xf numFmtId="0" fontId="9" fillId="2" borderId="0" xfId="0" applyFont="1" applyFill="1" applyBorder="1" applyAlignment="1">
      <alignment horizontal="center" wrapText="1"/>
    </xf>
    <xf numFmtId="0" fontId="11" fillId="2" borderId="1" xfId="0" applyNumberFormat="1" applyFont="1" applyFill="1" applyBorder="1" applyAlignment="1">
      <alignment horizontal="center" vertical="center" wrapText="1"/>
    </xf>
    <xf numFmtId="2" fontId="17" fillId="2" borderId="1" xfId="0" applyNumberFormat="1" applyFont="1" applyFill="1" applyBorder="1" applyAlignment="1">
      <alignment horizontal="center" vertical="center"/>
    </xf>
    <xf numFmtId="0" fontId="16" fillId="0" borderId="0" xfId="0" applyFont="1" applyAlignment="1">
      <alignment vertical="center"/>
    </xf>
    <xf numFmtId="0" fontId="17" fillId="2" borderId="1" xfId="0" applyNumberFormat="1" applyFont="1" applyFill="1" applyBorder="1" applyAlignment="1">
      <alignment horizontal="center" vertical="center" wrapText="1"/>
    </xf>
    <xf numFmtId="0" fontId="16" fillId="0" borderId="0" xfId="0" applyFont="1" applyAlignment="1">
      <alignment horizontal="center" vertical="center"/>
    </xf>
    <xf numFmtId="0" fontId="16" fillId="2" borderId="0" xfId="0" applyFont="1" applyFill="1" applyAlignment="1">
      <alignment vertical="center"/>
    </xf>
    <xf numFmtId="0" fontId="16" fillId="2" borderId="0" xfId="0" applyFont="1" applyFill="1" applyAlignment="1">
      <alignment horizontal="center" vertical="center"/>
    </xf>
    <xf numFmtId="0" fontId="16" fillId="2" borderId="7" xfId="0" applyNumberFormat="1" applyFont="1" applyFill="1" applyBorder="1" applyAlignment="1">
      <alignment horizontal="center" vertical="center" wrapText="1"/>
    </xf>
    <xf numFmtId="2" fontId="16" fillId="2" borderId="1" xfId="0" applyNumberFormat="1" applyFont="1" applyFill="1" applyBorder="1" applyAlignment="1">
      <alignment horizontal="left" vertical="center"/>
    </xf>
    <xf numFmtId="1" fontId="16" fillId="2" borderId="1" xfId="0" applyNumberFormat="1" applyFont="1" applyFill="1" applyBorder="1" applyAlignment="1">
      <alignment horizontal="center" vertical="center" wrapText="1"/>
    </xf>
    <xf numFmtId="1" fontId="12" fillId="2" borderId="7" xfId="0" applyNumberFormat="1" applyFont="1" applyFill="1" applyBorder="1" applyAlignment="1">
      <alignment horizontal="right" vertical="center"/>
    </xf>
    <xf numFmtId="0" fontId="18" fillId="2" borderId="1" xfId="0" applyFont="1" applyFill="1" applyBorder="1" applyAlignment="1">
      <alignment vertical="center"/>
    </xf>
    <xf numFmtId="2" fontId="18" fillId="2" borderId="1" xfId="0" applyNumberFormat="1" applyFont="1" applyFill="1" applyBorder="1" applyAlignment="1">
      <alignment horizontal="center" vertical="center"/>
    </xf>
    <xf numFmtId="0" fontId="16" fillId="2" borderId="0" xfId="0" applyFont="1" applyFill="1" applyAlignment="1">
      <alignment horizontal="left" vertical="center"/>
    </xf>
    <xf numFmtId="0" fontId="16" fillId="0" borderId="0" xfId="0" applyFont="1" applyBorder="1" applyAlignment="1">
      <alignment vertical="center"/>
    </xf>
    <xf numFmtId="0" fontId="16" fillId="2" borderId="0" xfId="0" applyFont="1" applyFill="1" applyBorder="1" applyAlignment="1">
      <alignment horizontal="left" vertical="center"/>
    </xf>
    <xf numFmtId="2" fontId="16" fillId="2" borderId="0" xfId="0" applyNumberFormat="1" applyFont="1" applyFill="1" applyAlignment="1">
      <alignment horizontal="center" vertical="center"/>
    </xf>
    <xf numFmtId="2" fontId="16" fillId="2" borderId="0" xfId="0" applyNumberFormat="1" applyFont="1" applyFill="1" applyAlignment="1">
      <alignment vertical="center"/>
    </xf>
    <xf numFmtId="49" fontId="16" fillId="0" borderId="0" xfId="0" applyNumberFormat="1" applyFont="1" applyAlignment="1">
      <alignment vertical="center"/>
    </xf>
    <xf numFmtId="1" fontId="12" fillId="2" borderId="0" xfId="0" applyNumberFormat="1" applyFont="1" applyFill="1" applyAlignment="1">
      <alignment horizontal="center" vertical="center"/>
    </xf>
    <xf numFmtId="0" fontId="16" fillId="0" borderId="0" xfId="0" applyNumberFormat="1" applyFont="1" applyAlignment="1">
      <alignment vertical="center"/>
    </xf>
    <xf numFmtId="2" fontId="16" fillId="0" borderId="0" xfId="0" applyNumberFormat="1" applyFont="1" applyAlignment="1">
      <alignment vertical="center"/>
    </xf>
    <xf numFmtId="0" fontId="16" fillId="0" borderId="0" xfId="0" applyNumberFormat="1" applyFont="1" applyAlignment="1">
      <alignment horizontal="left" vertical="center"/>
    </xf>
    <xf numFmtId="2" fontId="16" fillId="0" borderId="0" xfId="0" applyNumberFormat="1" applyFont="1" applyAlignment="1">
      <alignment horizontal="center" vertical="center"/>
    </xf>
    <xf numFmtId="1" fontId="16" fillId="2" borderId="0" xfId="0" applyNumberFormat="1" applyFont="1" applyFill="1" applyAlignment="1">
      <alignment vertical="center"/>
    </xf>
    <xf numFmtId="49" fontId="16" fillId="2" borderId="0" xfId="0" applyNumberFormat="1" applyFont="1" applyFill="1" applyAlignment="1">
      <alignment horizontal="center" vertical="center"/>
    </xf>
    <xf numFmtId="49" fontId="16" fillId="2" borderId="0" xfId="0" applyNumberFormat="1" applyFont="1" applyFill="1" applyAlignment="1">
      <alignment horizontal="left" vertical="center"/>
    </xf>
    <xf numFmtId="2" fontId="21" fillId="2" borderId="0" xfId="0" applyNumberFormat="1" applyFont="1" applyFill="1" applyBorder="1" applyAlignment="1">
      <alignment horizontal="center" vertical="center"/>
    </xf>
    <xf numFmtId="0" fontId="25" fillId="0" borderId="0" xfId="0" applyFont="1" applyAlignment="1">
      <alignment vertical="center"/>
    </xf>
    <xf numFmtId="49" fontId="21" fillId="2" borderId="0" xfId="0" applyNumberFormat="1" applyFont="1" applyFill="1" applyBorder="1" applyAlignment="1">
      <alignment horizontal="left" wrapText="1"/>
    </xf>
    <xf numFmtId="0" fontId="16" fillId="0" borderId="0" xfId="0" applyFont="1" applyAlignment="1">
      <alignment horizontal="left" vertical="center"/>
    </xf>
    <xf numFmtId="49" fontId="16" fillId="0" borderId="0" xfId="0" applyNumberFormat="1" applyFont="1" applyAlignment="1">
      <alignment horizontal="right" vertical="center"/>
    </xf>
    <xf numFmtId="0" fontId="16" fillId="0" borderId="0" xfId="0" applyNumberFormat="1" applyFont="1" applyBorder="1" applyAlignment="1">
      <alignment horizontal="left" vertical="center"/>
    </xf>
    <xf numFmtId="2" fontId="16" fillId="0" borderId="0" xfId="0" applyNumberFormat="1" applyFont="1" applyBorder="1" applyAlignment="1">
      <alignment horizontal="center" vertical="center"/>
    </xf>
    <xf numFmtId="1" fontId="22" fillId="2" borderId="0" xfId="0" applyNumberFormat="1" applyFont="1" applyFill="1" applyAlignment="1">
      <alignment vertical="center"/>
    </xf>
    <xf numFmtId="0" fontId="16" fillId="0" borderId="0" xfId="0" applyFont="1" applyAlignment="1">
      <alignment vertical="center" wrapText="1"/>
    </xf>
    <xf numFmtId="0" fontId="16" fillId="4" borderId="0" xfId="0" applyFont="1" applyFill="1" applyAlignment="1">
      <alignment vertical="center"/>
    </xf>
    <xf numFmtId="2" fontId="22" fillId="2" borderId="0" xfId="0" applyNumberFormat="1" applyFont="1" applyFill="1" applyBorder="1" applyAlignment="1">
      <alignment horizontal="center" vertical="center"/>
    </xf>
    <xf numFmtId="2" fontId="26" fillId="2" borderId="0" xfId="0" applyNumberFormat="1" applyFont="1" applyFill="1" applyBorder="1" applyAlignment="1">
      <alignment horizontal="right" vertical="center"/>
    </xf>
    <xf numFmtId="0" fontId="14" fillId="0" borderId="0" xfId="0" applyFont="1" applyAlignment="1">
      <alignment vertical="center"/>
    </xf>
    <xf numFmtId="0" fontId="14" fillId="2" borderId="0" xfId="0" applyFont="1" applyFill="1" applyAlignment="1">
      <alignment vertical="center"/>
    </xf>
    <xf numFmtId="0" fontId="21" fillId="2" borderId="0" xfId="0" applyFont="1" applyFill="1" applyBorder="1" applyAlignment="1"/>
    <xf numFmtId="0" fontId="21" fillId="2" borderId="0" xfId="0" applyFont="1" applyFill="1" applyBorder="1" applyAlignment="1">
      <alignment horizontal="center"/>
    </xf>
    <xf numFmtId="0" fontId="21" fillId="2" borderId="0" xfId="0" applyFont="1" applyFill="1" applyBorder="1" applyAlignment="1">
      <alignment horizontal="left"/>
    </xf>
    <xf numFmtId="0" fontId="21" fillId="2" borderId="0" xfId="0" applyFont="1" applyFill="1" applyBorder="1" applyAlignment="1">
      <alignment horizontal="right"/>
    </xf>
    <xf numFmtId="49" fontId="21" fillId="2" borderId="0" xfId="0" applyNumberFormat="1" applyFont="1" applyFill="1" applyBorder="1" applyAlignment="1">
      <alignment horizontal="right"/>
    </xf>
    <xf numFmtId="49" fontId="21" fillId="2" borderId="0" xfId="0" applyNumberFormat="1" applyFont="1" applyFill="1" applyBorder="1" applyAlignment="1">
      <alignment horizontal="left"/>
    </xf>
    <xf numFmtId="0" fontId="25" fillId="2" borderId="0" xfId="0" applyFont="1" applyFill="1" applyBorder="1" applyAlignment="1">
      <alignment horizontal="right"/>
    </xf>
    <xf numFmtId="0" fontId="22" fillId="2" borderId="9" xfId="0" applyNumberFormat="1" applyFont="1" applyFill="1" applyBorder="1" applyAlignment="1">
      <alignment horizontal="left" vertical="center" wrapText="1"/>
    </xf>
    <xf numFmtId="49" fontId="23" fillId="2" borderId="9" xfId="0" applyNumberFormat="1" applyFont="1" applyFill="1" applyBorder="1" applyAlignment="1">
      <alignment horizontal="left" vertical="center"/>
    </xf>
    <xf numFmtId="0" fontId="24" fillId="2" borderId="0" xfId="0" applyNumberFormat="1" applyFont="1" applyFill="1" applyAlignment="1">
      <alignment horizontal="center" vertical="center"/>
    </xf>
    <xf numFmtId="1" fontId="12" fillId="2" borderId="7" xfId="0" applyNumberFormat="1" applyFont="1" applyFill="1" applyBorder="1" applyAlignment="1">
      <alignment horizontal="center" vertical="center"/>
    </xf>
    <xf numFmtId="1" fontId="18" fillId="2" borderId="1" xfId="0" applyNumberFormat="1" applyFont="1" applyFill="1" applyBorder="1" applyAlignment="1">
      <alignment horizontal="center" vertical="center"/>
    </xf>
    <xf numFmtId="1" fontId="17" fillId="2" borderId="13" xfId="0" applyNumberFormat="1" applyFont="1" applyFill="1" applyBorder="1" applyAlignment="1">
      <alignment horizontal="center" vertical="center"/>
    </xf>
    <xf numFmtId="0" fontId="17" fillId="2" borderId="1" xfId="0" applyFont="1" applyFill="1" applyBorder="1" applyAlignment="1">
      <alignment horizontal="center" vertical="center"/>
    </xf>
    <xf numFmtId="0" fontId="22" fillId="2" borderId="0" xfId="0" applyFont="1" applyFill="1" applyAlignment="1">
      <alignment vertical="center"/>
    </xf>
    <xf numFmtId="0" fontId="13" fillId="0" borderId="0" xfId="0" applyNumberFormat="1" applyFont="1" applyAlignment="1">
      <alignment horizontal="center"/>
    </xf>
    <xf numFmtId="0" fontId="27" fillId="0" borderId="0" xfId="0" applyNumberFormat="1" applyFont="1" applyBorder="1" applyAlignment="1">
      <alignment horizontal="left"/>
    </xf>
    <xf numFmtId="2" fontId="13" fillId="0" borderId="0" xfId="0" applyNumberFormat="1" applyFont="1" applyAlignment="1"/>
    <xf numFmtId="0" fontId="13" fillId="0" borderId="0" xfId="0" applyNumberFormat="1" applyFont="1" applyBorder="1" applyAlignment="1">
      <alignment wrapText="1"/>
    </xf>
    <xf numFmtId="0" fontId="13" fillId="0" borderId="0" xfId="0" applyNumberFormat="1" applyFont="1" applyBorder="1" applyAlignment="1">
      <alignment horizontal="left" wrapText="1"/>
    </xf>
    <xf numFmtId="2" fontId="14" fillId="0" borderId="0" xfId="0" applyNumberFormat="1" applyFont="1" applyAlignment="1"/>
    <xf numFmtId="0" fontId="14" fillId="0" borderId="0" xfId="0" applyNumberFormat="1" applyFont="1" applyAlignment="1">
      <alignment horizontal="center"/>
    </xf>
    <xf numFmtId="0" fontId="22" fillId="0" borderId="0" xfId="0" quotePrefix="1" applyNumberFormat="1" applyFont="1" applyBorder="1" applyAlignment="1">
      <alignment horizontal="left"/>
    </xf>
    <xf numFmtId="0" fontId="14" fillId="0" borderId="0" xfId="0" applyNumberFormat="1" applyFont="1" applyAlignment="1">
      <alignment wrapText="1"/>
    </xf>
    <xf numFmtId="0" fontId="14" fillId="0" borderId="0" xfId="0" applyNumberFormat="1" applyFont="1" applyBorder="1" applyAlignment="1">
      <alignment horizontal="center" wrapText="1"/>
    </xf>
    <xf numFmtId="0" fontId="14" fillId="0" borderId="0" xfId="0" applyNumberFormat="1" applyFont="1" applyBorder="1" applyAlignment="1">
      <alignment wrapText="1"/>
    </xf>
    <xf numFmtId="0" fontId="14" fillId="0" borderId="0" xfId="0" applyNumberFormat="1" applyFont="1" applyBorder="1" applyAlignment="1">
      <alignment horizontal="left" wrapText="1"/>
    </xf>
    <xf numFmtId="2" fontId="14" fillId="2" borderId="0" xfId="0" applyNumberFormat="1" applyFont="1" applyFill="1" applyBorder="1" applyAlignment="1">
      <alignment horizontal="center" vertical="center"/>
    </xf>
    <xf numFmtId="2" fontId="22" fillId="0" borderId="0" xfId="0" applyNumberFormat="1" applyFont="1" applyAlignment="1"/>
    <xf numFmtId="0" fontId="28" fillId="0" borderId="0" xfId="0" applyNumberFormat="1" applyFont="1" applyBorder="1" applyAlignment="1">
      <alignment wrapText="1"/>
    </xf>
    <xf numFmtId="0" fontId="28" fillId="0" borderId="0" xfId="0" applyNumberFormat="1" applyFont="1" applyBorder="1" applyAlignment="1">
      <alignment horizontal="left" wrapText="1"/>
    </xf>
    <xf numFmtId="0" fontId="14" fillId="2" borderId="0" xfId="0" applyNumberFormat="1" applyFont="1" applyFill="1" applyAlignment="1">
      <alignment horizontal="center" wrapText="1"/>
    </xf>
    <xf numFmtId="49" fontId="16" fillId="0" borderId="0" xfId="0" applyNumberFormat="1" applyFont="1" applyBorder="1" applyAlignment="1">
      <alignment horizontal="right" vertical="center"/>
    </xf>
    <xf numFmtId="49" fontId="16" fillId="0" borderId="0" xfId="0" applyNumberFormat="1" applyFont="1" applyBorder="1" applyAlignment="1">
      <alignment vertical="center"/>
    </xf>
    <xf numFmtId="0" fontId="16" fillId="0" borderId="18" xfId="0" applyFont="1" applyBorder="1" applyAlignment="1">
      <alignment horizontal="left" vertical="center"/>
    </xf>
    <xf numFmtId="0" fontId="16" fillId="0" borderId="22" xfId="0" applyFont="1" applyBorder="1" applyAlignment="1">
      <alignment horizontal="left" vertical="center"/>
    </xf>
    <xf numFmtId="0" fontId="13" fillId="2" borderId="0" xfId="0" applyFont="1" applyFill="1" applyBorder="1" applyAlignment="1">
      <alignment horizontal="right"/>
    </xf>
    <xf numFmtId="0" fontId="13" fillId="2" borderId="0" xfId="0" applyFont="1" applyFill="1" applyBorder="1" applyAlignment="1">
      <alignment horizontal="left"/>
    </xf>
    <xf numFmtId="0" fontId="13" fillId="2" borderId="0" xfId="0" applyFont="1" applyFill="1" applyBorder="1" applyAlignment="1">
      <alignment horizontal="center"/>
    </xf>
    <xf numFmtId="0" fontId="14" fillId="2" borderId="0" xfId="0" applyFont="1" applyFill="1" applyBorder="1" applyAlignment="1">
      <alignment horizontal="right"/>
    </xf>
    <xf numFmtId="0" fontId="25" fillId="0" borderId="0" xfId="0" applyFont="1" applyAlignment="1">
      <alignment horizontal="left" vertical="center"/>
    </xf>
    <xf numFmtId="0" fontId="25" fillId="2" borderId="0" xfId="0" applyFont="1" applyFill="1" applyAlignment="1">
      <alignment horizontal="right"/>
    </xf>
    <xf numFmtId="1" fontId="25" fillId="2" borderId="0" xfId="0" applyNumberFormat="1" applyFont="1" applyFill="1" applyBorder="1" applyAlignment="1">
      <alignment horizontal="right"/>
    </xf>
    <xf numFmtId="1" fontId="13" fillId="2" borderId="0" xfId="0" applyNumberFormat="1" applyFont="1" applyFill="1" applyBorder="1" applyAlignment="1">
      <alignment horizontal="center"/>
    </xf>
    <xf numFmtId="0" fontId="0" fillId="0" borderId="0" xfId="0" applyAlignment="1">
      <alignment horizontal="right"/>
    </xf>
    <xf numFmtId="0" fontId="2" fillId="0" borderId="0" xfId="0" applyFont="1"/>
    <xf numFmtId="0" fontId="28" fillId="0" borderId="0" xfId="0" applyNumberFormat="1" applyFont="1" applyBorder="1" applyAlignment="1">
      <alignment horizontal="center" wrapText="1"/>
    </xf>
    <xf numFmtId="0" fontId="21" fillId="2" borderId="0" xfId="0" applyNumberFormat="1" applyFont="1" applyFill="1" applyAlignment="1">
      <alignment horizontal="center" vertical="center" wrapText="1"/>
    </xf>
    <xf numFmtId="49" fontId="21" fillId="2" borderId="0" xfId="0" applyNumberFormat="1" applyFont="1" applyFill="1" applyBorder="1" applyAlignment="1">
      <alignment horizontal="center" vertical="center" wrapText="1"/>
    </xf>
    <xf numFmtId="2" fontId="21" fillId="2" borderId="0" xfId="0" applyNumberFormat="1" applyFont="1" applyFill="1" applyAlignment="1">
      <alignment horizontal="center" vertical="center"/>
    </xf>
    <xf numFmtId="0" fontId="25" fillId="0" borderId="1" xfId="0" applyFont="1" applyBorder="1" applyAlignment="1">
      <alignment horizontal="center" vertical="center"/>
    </xf>
    <xf numFmtId="0" fontId="21" fillId="2" borderId="0" xfId="0" applyFont="1" applyFill="1" applyBorder="1" applyAlignment="1">
      <alignment horizontal="center" vertical="center"/>
    </xf>
    <xf numFmtId="0" fontId="25" fillId="0" borderId="1" xfId="0" applyFont="1" applyBorder="1" applyAlignment="1">
      <alignment vertical="center"/>
    </xf>
    <xf numFmtId="0" fontId="25" fillId="0" borderId="1" xfId="0" applyFont="1" applyBorder="1" applyAlignment="1">
      <alignment vertical="center" wrapText="1"/>
    </xf>
    <xf numFmtId="0" fontId="22" fillId="2" borderId="1" xfId="0" applyNumberFormat="1" applyFont="1" applyFill="1" applyBorder="1" applyAlignment="1">
      <alignment horizontal="center" vertical="center" wrapText="1"/>
    </xf>
    <xf numFmtId="0" fontId="20" fillId="8" borderId="1" xfId="0" applyNumberFormat="1" applyFont="1" applyFill="1" applyBorder="1" applyAlignment="1">
      <alignment horizontal="center" vertical="center" wrapText="1"/>
    </xf>
    <xf numFmtId="0" fontId="20" fillId="8" borderId="1" xfId="0" applyNumberFormat="1" applyFont="1" applyFill="1" applyBorder="1" applyAlignment="1">
      <alignment horizontal="left" vertical="center" wrapText="1"/>
    </xf>
    <xf numFmtId="0" fontId="20" fillId="8" borderId="12" xfId="0" applyNumberFormat="1" applyFont="1" applyFill="1" applyBorder="1" applyAlignment="1">
      <alignment horizontal="center" vertical="center" wrapText="1"/>
    </xf>
    <xf numFmtId="0" fontId="20" fillId="8" borderId="23" xfId="0" applyNumberFormat="1" applyFont="1" applyFill="1" applyBorder="1" applyAlignment="1">
      <alignment horizontal="left" vertical="center"/>
    </xf>
    <xf numFmtId="1" fontId="20" fillId="8" borderId="1" xfId="0" applyNumberFormat="1" applyFont="1" applyFill="1" applyBorder="1" applyAlignment="1">
      <alignment horizontal="center" vertical="center"/>
    </xf>
    <xf numFmtId="2" fontId="20" fillId="8" borderId="1" xfId="0" applyNumberFormat="1" applyFont="1" applyFill="1" applyBorder="1" applyAlignment="1">
      <alignment horizontal="center" vertical="center"/>
    </xf>
    <xf numFmtId="49" fontId="20" fillId="8" borderId="20" xfId="0" applyNumberFormat="1" applyFont="1" applyFill="1" applyBorder="1" applyAlignment="1">
      <alignment horizontal="right" vertical="center"/>
    </xf>
    <xf numFmtId="49" fontId="20" fillId="8" borderId="17" xfId="0" applyNumberFormat="1" applyFont="1" applyFill="1" applyBorder="1" applyAlignment="1">
      <alignment horizontal="center" vertical="center"/>
    </xf>
    <xf numFmtId="1" fontId="20" fillId="8" borderId="1" xfId="0" applyNumberFormat="1" applyFont="1" applyFill="1" applyBorder="1" applyAlignment="1">
      <alignment horizontal="center" vertical="center" wrapText="1"/>
    </xf>
    <xf numFmtId="0" fontId="19" fillId="8" borderId="13" xfId="0" applyFont="1" applyFill="1" applyBorder="1" applyAlignment="1">
      <alignment horizontal="center" vertical="center"/>
    </xf>
    <xf numFmtId="0" fontId="20" fillId="8" borderId="1" xfId="0" applyFont="1" applyFill="1" applyBorder="1" applyAlignment="1">
      <alignment horizontal="center" vertical="center"/>
    </xf>
    <xf numFmtId="1" fontId="20" fillId="8" borderId="8" xfId="0" applyNumberFormat="1" applyFont="1" applyFill="1" applyBorder="1" applyAlignment="1">
      <alignment horizontal="right" vertical="center" wrapText="1"/>
    </xf>
    <xf numFmtId="1" fontId="20" fillId="8" borderId="7" xfId="0" applyNumberFormat="1" applyFont="1" applyFill="1" applyBorder="1" applyAlignment="1">
      <alignment horizontal="right" vertical="center" wrapText="1"/>
    </xf>
    <xf numFmtId="49" fontId="20" fillId="8" borderId="20" xfId="0" applyNumberFormat="1" applyFont="1" applyFill="1" applyBorder="1" applyAlignment="1">
      <alignment horizontal="right" vertical="center" wrapText="1"/>
    </xf>
    <xf numFmtId="0" fontId="19" fillId="8" borderId="1" xfId="0" applyNumberFormat="1" applyFont="1" applyFill="1" applyBorder="1" applyAlignment="1">
      <alignment horizontal="center" vertical="center" wrapText="1"/>
    </xf>
    <xf numFmtId="1" fontId="20" fillId="8" borderId="7" xfId="0" applyNumberFormat="1" applyFont="1" applyFill="1" applyBorder="1" applyAlignment="1">
      <alignment horizontal="center" vertical="center"/>
    </xf>
    <xf numFmtId="0" fontId="20" fillId="8" borderId="1" xfId="0" applyFont="1" applyFill="1" applyBorder="1" applyAlignment="1">
      <alignment vertical="center"/>
    </xf>
    <xf numFmtId="0" fontId="20" fillId="8" borderId="1" xfId="0" applyNumberFormat="1" applyFont="1" applyFill="1" applyBorder="1" applyAlignment="1">
      <alignment horizontal="center" vertical="center"/>
    </xf>
    <xf numFmtId="0" fontId="20" fillId="8" borderId="13" xfId="0" applyNumberFormat="1" applyFont="1" applyFill="1" applyBorder="1" applyAlignment="1">
      <alignment horizontal="center" vertical="center"/>
    </xf>
    <xf numFmtId="0" fontId="20" fillId="8" borderId="14" xfId="0" applyNumberFormat="1" applyFont="1" applyFill="1" applyBorder="1" applyAlignment="1">
      <alignment horizontal="center" vertical="center" wrapText="1"/>
    </xf>
    <xf numFmtId="0" fontId="20" fillId="8" borderId="12" xfId="0" applyNumberFormat="1" applyFont="1" applyFill="1" applyBorder="1" applyAlignment="1">
      <alignment horizontal="center" vertical="center"/>
    </xf>
    <xf numFmtId="1" fontId="19" fillId="8" borderId="7" xfId="0" applyNumberFormat="1" applyFont="1" applyFill="1" applyBorder="1" applyAlignment="1">
      <alignment horizontal="right" vertical="center"/>
    </xf>
    <xf numFmtId="0" fontId="20" fillId="8" borderId="13" xfId="0" applyFont="1" applyFill="1" applyBorder="1" applyAlignment="1">
      <alignment vertical="center"/>
    </xf>
    <xf numFmtId="0" fontId="20" fillId="8" borderId="12" xfId="0" applyFont="1" applyFill="1" applyBorder="1" applyAlignment="1">
      <alignment vertical="center"/>
    </xf>
    <xf numFmtId="1" fontId="19" fillId="8" borderId="8" xfId="0" applyNumberFormat="1" applyFont="1" applyFill="1" applyBorder="1" applyAlignment="1">
      <alignment horizontal="center" vertical="center"/>
    </xf>
    <xf numFmtId="1" fontId="19" fillId="8" borderId="23" xfId="0" applyNumberFormat="1" applyFont="1" applyFill="1" applyBorder="1" applyAlignment="1">
      <alignment horizontal="center" vertical="center" wrapText="1"/>
    </xf>
    <xf numFmtId="0" fontId="20" fillId="8" borderId="9" xfId="0" applyNumberFormat="1" applyFont="1" applyFill="1" applyBorder="1" applyAlignment="1">
      <alignment horizontal="center" vertical="center"/>
    </xf>
    <xf numFmtId="0" fontId="20" fillId="8" borderId="1" xfId="0" applyNumberFormat="1" applyFont="1" applyFill="1" applyBorder="1" applyAlignment="1">
      <alignment horizontal="left" vertical="center"/>
    </xf>
    <xf numFmtId="0" fontId="20" fillId="8" borderId="1" xfId="0" applyNumberFormat="1" applyFont="1" applyFill="1" applyBorder="1" applyAlignment="1">
      <alignment vertical="center"/>
    </xf>
    <xf numFmtId="0" fontId="20" fillId="8" borderId="9" xfId="0" applyNumberFormat="1" applyFont="1" applyFill="1" applyBorder="1" applyAlignment="1">
      <alignment horizontal="left" vertical="center" wrapText="1"/>
    </xf>
    <xf numFmtId="0" fontId="20" fillId="8" borderId="19" xfId="0" applyNumberFormat="1" applyFont="1" applyFill="1" applyBorder="1" applyAlignment="1">
      <alignment horizontal="right" vertical="center" wrapText="1"/>
    </xf>
    <xf numFmtId="0" fontId="20" fillId="8" borderId="28" xfId="0" applyNumberFormat="1" applyFont="1" applyFill="1" applyBorder="1" applyAlignment="1">
      <alignment horizontal="center" vertical="center" wrapText="1"/>
    </xf>
    <xf numFmtId="1" fontId="19" fillId="8" borderId="1" xfId="0" applyNumberFormat="1" applyFont="1" applyFill="1" applyBorder="1" applyAlignment="1">
      <alignment horizontal="center" vertical="center"/>
    </xf>
    <xf numFmtId="0" fontId="20" fillId="8" borderId="8" xfId="0" applyFont="1" applyFill="1" applyBorder="1" applyAlignment="1">
      <alignment vertical="center"/>
    </xf>
    <xf numFmtId="0" fontId="25" fillId="8" borderId="1" xfId="0" applyNumberFormat="1" applyFont="1" applyFill="1" applyBorder="1" applyAlignment="1">
      <alignment horizontal="left" vertical="center" wrapText="1"/>
    </xf>
    <xf numFmtId="0" fontId="25" fillId="8" borderId="1" xfId="0" applyFont="1" applyFill="1" applyBorder="1" applyAlignment="1">
      <alignment vertical="center"/>
    </xf>
    <xf numFmtId="0" fontId="20" fillId="8" borderId="19" xfId="0" applyNumberFormat="1" applyFont="1" applyFill="1" applyBorder="1" applyAlignment="1">
      <alignment horizontal="left" vertical="center" wrapText="1"/>
    </xf>
    <xf numFmtId="0" fontId="20" fillId="8" borderId="8" xfId="0" applyNumberFormat="1" applyFont="1" applyFill="1" applyBorder="1" applyAlignment="1">
      <alignment horizontal="center" vertical="center" wrapText="1"/>
    </xf>
    <xf numFmtId="49" fontId="20" fillId="8" borderId="9" xfId="0" applyNumberFormat="1" applyFont="1" applyFill="1" applyBorder="1" applyAlignment="1">
      <alignment vertical="center"/>
    </xf>
    <xf numFmtId="0" fontId="2" fillId="0" borderId="0" xfId="0" applyFont="1" applyBorder="1"/>
    <xf numFmtId="2" fontId="26" fillId="2" borderId="0" xfId="0" applyNumberFormat="1" applyFont="1" applyFill="1" applyAlignment="1">
      <alignment vertical="center"/>
    </xf>
    <xf numFmtId="0" fontId="14" fillId="2" borderId="0" xfId="0" applyFont="1" applyFill="1" applyBorder="1" applyAlignment="1">
      <alignment horizontal="left" vertical="center"/>
    </xf>
    <xf numFmtId="49" fontId="20" fillId="8" borderId="0" xfId="0" applyNumberFormat="1" applyFont="1" applyFill="1" applyBorder="1" applyAlignment="1">
      <alignment horizontal="center" vertical="center"/>
    </xf>
    <xf numFmtId="1" fontId="21" fillId="2" borderId="0" xfId="0" applyNumberFormat="1" applyFont="1" applyFill="1" applyBorder="1" applyAlignment="1">
      <alignment horizontal="right"/>
    </xf>
    <xf numFmtId="0" fontId="21" fillId="0" borderId="0" xfId="0" applyFont="1" applyFill="1" applyBorder="1" applyAlignment="1">
      <alignment horizontal="center"/>
    </xf>
    <xf numFmtId="0" fontId="25" fillId="0" borderId="0" xfId="0" applyFont="1" applyFill="1" applyBorder="1" applyAlignment="1">
      <alignment horizontal="center"/>
    </xf>
    <xf numFmtId="0" fontId="21" fillId="3" borderId="0" xfId="0" applyFont="1" applyFill="1" applyAlignment="1">
      <alignment vertical="center"/>
    </xf>
    <xf numFmtId="0" fontId="21" fillId="3" borderId="0" xfId="0" applyFont="1" applyFill="1" applyAlignment="1">
      <alignment horizontal="left" vertical="center" wrapText="1"/>
    </xf>
    <xf numFmtId="0" fontId="19" fillId="8" borderId="12" xfId="0" applyFont="1" applyFill="1" applyBorder="1" applyAlignment="1">
      <alignment horizontal="left" vertical="center"/>
    </xf>
    <xf numFmtId="2" fontId="19" fillId="8" borderId="1" xfId="0" applyNumberFormat="1" applyFont="1" applyFill="1" applyBorder="1" applyAlignment="1">
      <alignment horizontal="center" vertical="center"/>
    </xf>
    <xf numFmtId="0" fontId="25" fillId="2" borderId="0" xfId="0" applyFont="1" applyFill="1" applyAlignment="1">
      <alignment horizontal="left"/>
    </xf>
    <xf numFmtId="0" fontId="14" fillId="2" borderId="0" xfId="0" applyFont="1" applyFill="1" applyBorder="1" applyAlignment="1">
      <alignment horizontal="left"/>
    </xf>
    <xf numFmtId="0" fontId="0" fillId="0" borderId="0" xfId="0" applyAlignment="1">
      <alignment horizontal="left"/>
    </xf>
    <xf numFmtId="0" fontId="0" fillId="0" borderId="0" xfId="0" applyAlignment="1">
      <alignment horizontal="left" wrapText="1"/>
    </xf>
    <xf numFmtId="0" fontId="25" fillId="0" borderId="1" xfId="0" applyFont="1" applyBorder="1" applyAlignment="1">
      <alignment horizontal="left" vertical="center" wrapText="1"/>
    </xf>
    <xf numFmtId="2" fontId="21" fillId="2" borderId="0" xfId="0" applyNumberFormat="1" applyFont="1" applyFill="1" applyAlignment="1">
      <alignment horizontal="left" vertical="center"/>
    </xf>
    <xf numFmtId="0" fontId="21" fillId="3" borderId="0" xfId="0" applyFont="1" applyFill="1" applyAlignment="1">
      <alignment horizontal="left" vertical="center"/>
    </xf>
    <xf numFmtId="0" fontId="25" fillId="0" borderId="1" xfId="0" applyFont="1" applyBorder="1" applyAlignment="1">
      <alignment horizontal="left" vertical="center"/>
    </xf>
    <xf numFmtId="0" fontId="21" fillId="3" borderId="0" xfId="0" applyFont="1" applyFill="1" applyAlignment="1">
      <alignment horizontal="center" vertical="center"/>
    </xf>
    <xf numFmtId="49" fontId="21" fillId="2" borderId="0" xfId="0" applyNumberFormat="1" applyFont="1" applyFill="1" applyBorder="1" applyAlignment="1">
      <alignment vertical="center" wrapText="1"/>
    </xf>
    <xf numFmtId="0" fontId="21" fillId="8" borderId="0" xfId="0" applyFont="1" applyFill="1" applyAlignment="1">
      <alignment vertical="center"/>
    </xf>
    <xf numFmtId="2" fontId="13" fillId="0" borderId="0" xfId="0" applyNumberFormat="1" applyFont="1" applyBorder="1" applyAlignment="1"/>
    <xf numFmtId="0" fontId="0" fillId="0" borderId="0" xfId="0" applyAlignment="1">
      <alignment wrapText="1"/>
    </xf>
    <xf numFmtId="0" fontId="22" fillId="2" borderId="1" xfId="0" applyNumberFormat="1" applyFont="1" applyFill="1" applyBorder="1" applyAlignment="1">
      <alignment horizontal="left" vertical="center" wrapText="1"/>
    </xf>
    <xf numFmtId="0" fontId="22" fillId="0" borderId="1" xfId="0" applyFont="1" applyBorder="1" applyAlignment="1">
      <alignment vertical="center" wrapText="1"/>
    </xf>
    <xf numFmtId="0" fontId="20" fillId="8" borderId="0" xfId="0" applyFont="1" applyFill="1" applyAlignment="1">
      <alignment vertical="center"/>
    </xf>
    <xf numFmtId="0" fontId="21" fillId="2" borderId="0" xfId="0" applyFont="1" applyFill="1" applyBorder="1" applyAlignment="1">
      <alignment horizontal="right" textRotation="90"/>
    </xf>
    <xf numFmtId="0" fontId="16" fillId="0" borderId="0" xfId="0" applyFont="1" applyBorder="1" applyAlignment="1">
      <alignment horizontal="right" vertical="center" textRotation="90"/>
    </xf>
    <xf numFmtId="0" fontId="22" fillId="2" borderId="0" xfId="0" applyFont="1" applyFill="1" applyAlignment="1">
      <alignment horizontal="center" vertical="center" wrapText="1"/>
    </xf>
    <xf numFmtId="0" fontId="14" fillId="2" borderId="0" xfId="0" applyNumberFormat="1" applyFont="1" applyFill="1" applyAlignment="1">
      <alignment horizontal="left" wrapText="1"/>
    </xf>
    <xf numFmtId="0" fontId="14" fillId="2" borderId="0" xfId="0" applyNumberFormat="1" applyFont="1" applyFill="1" applyAlignment="1">
      <alignment horizontal="center" textRotation="90" wrapText="1"/>
    </xf>
    <xf numFmtId="49" fontId="13" fillId="2" borderId="0" xfId="0" applyNumberFormat="1" applyFont="1" applyFill="1" applyBorder="1" applyAlignment="1">
      <alignment horizontal="left" wrapText="1"/>
    </xf>
    <xf numFmtId="49" fontId="13" fillId="2" borderId="0" xfId="0" applyNumberFormat="1" applyFont="1" applyFill="1" applyBorder="1" applyAlignment="1">
      <alignment horizontal="center" wrapText="1"/>
    </xf>
    <xf numFmtId="49" fontId="13" fillId="2" borderId="0" xfId="0" applyNumberFormat="1" applyFont="1" applyFill="1" applyBorder="1" applyAlignment="1">
      <alignment wrapText="1"/>
    </xf>
    <xf numFmtId="2" fontId="14" fillId="2" borderId="0" xfId="0" applyNumberFormat="1" applyFont="1" applyFill="1" applyAlignment="1"/>
    <xf numFmtId="2" fontId="14" fillId="2" borderId="0" xfId="0" applyNumberFormat="1" applyFont="1" applyFill="1" applyAlignment="1">
      <alignment horizontal="left"/>
    </xf>
    <xf numFmtId="2" fontId="14" fillId="2" borderId="0" xfId="0" applyNumberFormat="1" applyFont="1" applyFill="1" applyAlignment="1">
      <alignment horizontal="center"/>
    </xf>
    <xf numFmtId="2" fontId="43" fillId="0" borderId="0" xfId="0" applyNumberFormat="1" applyFont="1" applyAlignment="1"/>
    <xf numFmtId="0" fontId="43" fillId="0" borderId="0" xfId="0" applyNumberFormat="1" applyFont="1" applyBorder="1" applyAlignment="1">
      <alignment horizontal="center" wrapText="1"/>
    </xf>
    <xf numFmtId="0" fontId="43" fillId="0" borderId="0" xfId="0" applyNumberFormat="1" applyFont="1" applyAlignment="1">
      <alignment wrapText="1"/>
    </xf>
    <xf numFmtId="0" fontId="43" fillId="0" borderId="0" xfId="0" applyNumberFormat="1" applyFont="1" applyAlignment="1">
      <alignment horizontal="left"/>
    </xf>
    <xf numFmtId="0" fontId="43" fillId="0" borderId="0" xfId="0" applyNumberFormat="1" applyFont="1" applyBorder="1" applyAlignment="1">
      <alignment wrapText="1"/>
    </xf>
    <xf numFmtId="0" fontId="43" fillId="0" borderId="0" xfId="0" applyNumberFormat="1" applyFont="1" applyBorder="1" applyAlignment="1">
      <alignment horizontal="left" wrapText="1"/>
    </xf>
    <xf numFmtId="0" fontId="44" fillId="0" borderId="0" xfId="0" applyNumberFormat="1" applyFont="1" applyBorder="1" applyAlignment="1">
      <alignment wrapText="1"/>
    </xf>
    <xf numFmtId="0" fontId="44" fillId="0" borderId="0" xfId="0" applyNumberFormat="1" applyFont="1" applyBorder="1" applyAlignment="1">
      <alignment horizontal="left" wrapText="1"/>
    </xf>
    <xf numFmtId="0" fontId="21" fillId="8" borderId="0" xfId="0" applyFont="1" applyFill="1" applyAlignment="1"/>
    <xf numFmtId="0" fontId="21" fillId="3" borderId="0" xfId="0" applyFont="1" applyFill="1" applyAlignment="1">
      <alignment horizontal="left" wrapText="1"/>
    </xf>
    <xf numFmtId="0" fontId="21" fillId="3" borderId="0" xfId="0" applyFont="1" applyFill="1" applyAlignment="1">
      <alignment horizontal="left"/>
    </xf>
    <xf numFmtId="0" fontId="21" fillId="3" borderId="0" xfId="0" applyFont="1" applyFill="1" applyAlignment="1"/>
    <xf numFmtId="0" fontId="21" fillId="3" borderId="0" xfId="0" applyFont="1" applyFill="1" applyAlignment="1">
      <alignment horizontal="center"/>
    </xf>
    <xf numFmtId="0" fontId="13" fillId="0" borderId="0" xfId="0" quotePrefix="1" applyNumberFormat="1" applyFont="1" applyAlignment="1">
      <alignment horizontal="center" wrapText="1"/>
    </xf>
    <xf numFmtId="0" fontId="5" fillId="0" borderId="0" xfId="0" applyFont="1" applyAlignment="1">
      <alignment wrapText="1"/>
    </xf>
    <xf numFmtId="0" fontId="7" fillId="0" borderId="0" xfId="0" applyFont="1" applyAlignment="1">
      <alignment vertical="center"/>
    </xf>
    <xf numFmtId="0" fontId="5" fillId="0" borderId="0" xfId="0" applyFont="1" applyAlignment="1">
      <alignment vertical="top"/>
    </xf>
    <xf numFmtId="0" fontId="5" fillId="0" borderId="16" xfId="0" applyFont="1" applyBorder="1" applyAlignment="1"/>
    <xf numFmtId="2" fontId="28" fillId="2" borderId="0" xfId="0" applyNumberFormat="1" applyFont="1" applyFill="1" applyAlignment="1"/>
    <xf numFmtId="0" fontId="21" fillId="2" borderId="0" xfId="0" applyFont="1" applyFill="1" applyBorder="1" applyAlignment="1">
      <alignment horizontal="right" wrapText="1"/>
    </xf>
    <xf numFmtId="1" fontId="21" fillId="0" borderId="0" xfId="0" applyNumberFormat="1" applyFont="1" applyFill="1" applyBorder="1" applyAlignment="1">
      <alignment horizontal="center" textRotation="90"/>
    </xf>
    <xf numFmtId="0" fontId="21" fillId="2" borderId="0" xfId="0" applyFont="1" applyFill="1" applyBorder="1" applyAlignment="1">
      <alignment horizontal="center" wrapText="1"/>
    </xf>
    <xf numFmtId="49" fontId="16" fillId="2" borderId="0" xfId="0" applyNumberFormat="1" applyFont="1" applyFill="1" applyBorder="1" applyAlignment="1">
      <alignment horizontal="left" vertical="center"/>
    </xf>
    <xf numFmtId="2" fontId="16" fillId="2" borderId="0" xfId="0" applyNumberFormat="1" applyFont="1" applyFill="1" applyAlignment="1">
      <alignment horizontal="right" vertical="center"/>
    </xf>
    <xf numFmtId="2" fontId="16" fillId="2" borderId="0" xfId="0" applyNumberFormat="1" applyFont="1" applyFill="1" applyAlignment="1">
      <alignment horizontal="left" vertical="center" wrapText="1"/>
    </xf>
    <xf numFmtId="1" fontId="16" fillId="0" borderId="0" xfId="0" applyNumberFormat="1" applyFont="1" applyAlignment="1">
      <alignment horizontal="right" vertical="center"/>
    </xf>
    <xf numFmtId="1" fontId="22" fillId="0" borderId="0" xfId="0" applyNumberFormat="1" applyFont="1" applyAlignment="1">
      <alignment horizontal="center" vertical="center" wrapText="1"/>
    </xf>
    <xf numFmtId="49" fontId="22" fillId="0" borderId="0" xfId="0" applyNumberFormat="1" applyFont="1" applyAlignment="1">
      <alignment vertical="center"/>
    </xf>
    <xf numFmtId="1" fontId="12" fillId="2" borderId="0" xfId="0" applyNumberFormat="1" applyFont="1" applyFill="1" applyAlignment="1">
      <alignment vertical="center"/>
    </xf>
    <xf numFmtId="2" fontId="16" fillId="2" borderId="21" xfId="0" applyNumberFormat="1" applyFont="1" applyFill="1" applyBorder="1" applyAlignment="1">
      <alignment vertical="center"/>
    </xf>
    <xf numFmtId="2" fontId="16" fillId="2" borderId="10" xfId="0" applyNumberFormat="1" applyFont="1" applyFill="1" applyBorder="1" applyAlignment="1">
      <alignment horizontal="right" vertical="center"/>
    </xf>
    <xf numFmtId="2" fontId="12" fillId="0" borderId="0" xfId="0" applyNumberFormat="1" applyFont="1" applyAlignment="1">
      <alignment horizontal="center" vertical="center"/>
    </xf>
    <xf numFmtId="2" fontId="16" fillId="0" borderId="18" xfId="0" applyNumberFormat="1" applyFont="1" applyBorder="1" applyAlignment="1">
      <alignment horizontal="right" vertical="center"/>
    </xf>
    <xf numFmtId="0" fontId="25" fillId="9" borderId="1" xfId="0" applyFont="1" applyFill="1" applyBorder="1" applyAlignment="1">
      <alignment vertical="center"/>
    </xf>
    <xf numFmtId="0" fontId="25" fillId="9" borderId="1" xfId="0" applyFont="1" applyFill="1" applyBorder="1" applyAlignment="1">
      <alignment horizontal="center" vertical="center"/>
    </xf>
    <xf numFmtId="49" fontId="20" fillId="8" borderId="29" xfId="0" applyNumberFormat="1" applyFont="1" applyFill="1" applyBorder="1" applyAlignment="1">
      <alignment horizontal="center" vertical="center" wrapText="1"/>
    </xf>
    <xf numFmtId="1" fontId="20" fillId="8" borderId="8" xfId="0" applyNumberFormat="1" applyFont="1" applyFill="1" applyBorder="1" applyAlignment="1">
      <alignment horizontal="left" vertical="center" wrapText="1"/>
    </xf>
    <xf numFmtId="0" fontId="25" fillId="2" borderId="0" xfId="0" applyFont="1" applyFill="1" applyBorder="1" applyAlignment="1">
      <alignment horizontal="center"/>
    </xf>
    <xf numFmtId="0" fontId="14" fillId="2" borderId="0" xfId="0" applyFont="1" applyFill="1" applyBorder="1" applyAlignment="1">
      <alignment horizontal="center"/>
    </xf>
    <xf numFmtId="0" fontId="25" fillId="0" borderId="1" xfId="0" applyFont="1" applyBorder="1" applyAlignment="1">
      <alignment horizontal="right" vertical="center"/>
    </xf>
    <xf numFmtId="0" fontId="25" fillId="2" borderId="0" xfId="0" applyFont="1" applyFill="1" applyAlignment="1">
      <alignment horizontal="center"/>
    </xf>
    <xf numFmtId="0" fontId="0" fillId="0" borderId="0" xfId="0"/>
    <xf numFmtId="0" fontId="14" fillId="0" borderId="0" xfId="0" applyFont="1" applyAlignment="1">
      <alignment horizontal="center" vertical="center"/>
    </xf>
    <xf numFmtId="0" fontId="14" fillId="2" borderId="0" xfId="0" applyNumberFormat="1" applyFont="1" applyFill="1" applyBorder="1" applyAlignment="1"/>
    <xf numFmtId="0" fontId="14" fillId="0" borderId="0" xfId="0" applyNumberFormat="1" applyFont="1" applyBorder="1" applyAlignment="1">
      <alignment horizontal="left"/>
    </xf>
    <xf numFmtId="0" fontId="14" fillId="0" borderId="0" xfId="0" applyNumberFormat="1" applyFont="1" applyBorder="1" applyAlignment="1"/>
    <xf numFmtId="0" fontId="14" fillId="2" borderId="0" xfId="0" applyNumberFormat="1" applyFont="1" applyFill="1" applyBorder="1" applyAlignment="1">
      <alignment horizontal="left"/>
    </xf>
    <xf numFmtId="0" fontId="14" fillId="0" borderId="0" xfId="0" applyNumberFormat="1" applyFont="1" applyBorder="1" applyAlignment="1">
      <alignment horizontal="right"/>
    </xf>
    <xf numFmtId="0" fontId="26" fillId="2" borderId="0" xfId="0" applyNumberFormat="1" applyFont="1" applyFill="1" applyBorder="1" applyAlignment="1">
      <alignment horizontal="right"/>
    </xf>
    <xf numFmtId="0" fontId="26" fillId="2" borderId="0" xfId="0" applyNumberFormat="1" applyFont="1" applyFill="1" applyBorder="1" applyAlignment="1">
      <alignment horizontal="left" wrapText="1"/>
    </xf>
    <xf numFmtId="0" fontId="26" fillId="2" borderId="0" xfId="0" applyNumberFormat="1" applyFont="1" applyFill="1" applyBorder="1" applyAlignment="1">
      <alignment horizontal="center"/>
    </xf>
    <xf numFmtId="0" fontId="26" fillId="2" borderId="0" xfId="0" applyNumberFormat="1" applyFont="1" applyFill="1" applyBorder="1" applyAlignment="1">
      <alignment horizontal="left"/>
    </xf>
    <xf numFmtId="0" fontId="26" fillId="0" borderId="0" xfId="0" applyNumberFormat="1" applyFont="1" applyBorder="1" applyAlignment="1"/>
    <xf numFmtId="0" fontId="26" fillId="0" borderId="0" xfId="0" applyNumberFormat="1" applyFont="1" applyBorder="1" applyAlignment="1">
      <alignment horizontal="left"/>
    </xf>
    <xf numFmtId="0" fontId="26" fillId="0" borderId="0" xfId="0" applyNumberFormat="1" applyFont="1" applyBorder="1" applyAlignment="1">
      <alignment horizontal="center"/>
    </xf>
    <xf numFmtId="0" fontId="26" fillId="0" borderId="0" xfId="0" applyNumberFormat="1" applyFont="1" applyBorder="1" applyAlignment="1">
      <alignment horizontal="right"/>
    </xf>
    <xf numFmtId="0" fontId="14" fillId="2" borderId="0" xfId="0" applyNumberFormat="1" applyFont="1" applyFill="1" applyBorder="1" applyAlignment="1">
      <alignment horizontal="right"/>
    </xf>
    <xf numFmtId="0" fontId="14" fillId="2" borderId="0" xfId="0" applyNumberFormat="1" applyFont="1" applyFill="1" applyBorder="1" applyAlignment="1">
      <alignment horizontal="center"/>
    </xf>
    <xf numFmtId="0" fontId="14" fillId="2" borderId="0" xfId="0" applyNumberFormat="1" applyFont="1" applyFill="1" applyBorder="1" applyAlignment="1">
      <alignment horizontal="center" wrapText="1"/>
    </xf>
    <xf numFmtId="0" fontId="14" fillId="2" borderId="0" xfId="0" applyNumberFormat="1" applyFont="1" applyFill="1" applyBorder="1" applyAlignment="1">
      <alignment horizontal="left" wrapText="1"/>
    </xf>
    <xf numFmtId="0" fontId="35" fillId="2" borderId="0" xfId="0" applyNumberFormat="1" applyFont="1" applyFill="1" applyBorder="1" applyAlignment="1">
      <alignment horizontal="center"/>
    </xf>
    <xf numFmtId="0" fontId="36" fillId="0" borderId="0" xfId="0" applyNumberFormat="1" applyFont="1" applyBorder="1" applyAlignment="1"/>
    <xf numFmtId="0" fontId="13" fillId="2" borderId="0" xfId="0" applyNumberFormat="1" applyFont="1" applyFill="1" applyBorder="1" applyAlignment="1">
      <alignment horizontal="center"/>
    </xf>
    <xf numFmtId="0" fontId="26" fillId="2" borderId="0" xfId="0" applyNumberFormat="1" applyFont="1" applyFill="1" applyBorder="1" applyAlignment="1"/>
    <xf numFmtId="0" fontId="15" fillId="0" borderId="0" xfId="0" applyNumberFormat="1" applyFont="1" applyBorder="1" applyAlignment="1">
      <alignment horizontal="center"/>
    </xf>
    <xf numFmtId="0" fontId="15" fillId="2" borderId="0" xfId="0" applyNumberFormat="1" applyFont="1" applyFill="1" applyBorder="1" applyAlignment="1"/>
    <xf numFmtId="0" fontId="37" fillId="2" borderId="0" xfId="0" applyNumberFormat="1" applyFont="1" applyFill="1" applyBorder="1" applyAlignment="1"/>
    <xf numFmtId="0" fontId="37" fillId="2" borderId="0" xfId="0" applyNumberFormat="1" applyFont="1" applyFill="1" applyBorder="1" applyAlignment="1">
      <alignment horizontal="right"/>
    </xf>
    <xf numFmtId="0" fontId="37" fillId="0" borderId="0" xfId="0" applyNumberFormat="1" applyFont="1" applyBorder="1" applyAlignment="1"/>
    <xf numFmtId="0" fontId="14" fillId="2" borderId="0" xfId="0" applyNumberFormat="1" applyFont="1" applyFill="1" applyAlignment="1"/>
    <xf numFmtId="0" fontId="34" fillId="2" borderId="0" xfId="0" applyNumberFormat="1" applyFont="1" applyFill="1" applyAlignment="1">
      <alignment wrapText="1"/>
    </xf>
    <xf numFmtId="0" fontId="14" fillId="0" borderId="0" xfId="0" applyNumberFormat="1" applyFont="1" applyAlignment="1"/>
    <xf numFmtId="0" fontId="13" fillId="2" borderId="30" xfId="0" applyNumberFormat="1" applyFont="1" applyFill="1" applyBorder="1" applyAlignment="1">
      <alignment horizontal="center" wrapText="1"/>
    </xf>
    <xf numFmtId="0" fontId="13" fillId="2" borderId="0" xfId="0" applyNumberFormat="1" applyFont="1" applyFill="1" applyBorder="1" applyAlignment="1">
      <alignment horizontal="right"/>
    </xf>
    <xf numFmtId="0" fontId="13" fillId="2" borderId="0" xfId="0" applyNumberFormat="1" applyFont="1" applyFill="1" applyBorder="1" applyAlignment="1">
      <alignment horizontal="center" wrapText="1"/>
    </xf>
    <xf numFmtId="0" fontId="13" fillId="2" borderId="0" xfId="0" applyNumberFormat="1" applyFont="1" applyFill="1" applyBorder="1" applyAlignment="1">
      <alignment wrapText="1"/>
    </xf>
    <xf numFmtId="0" fontId="13" fillId="2" borderId="0" xfId="0" applyNumberFormat="1" applyFont="1" applyFill="1" applyBorder="1" applyAlignment="1">
      <alignment horizontal="left" wrapText="1"/>
    </xf>
    <xf numFmtId="0" fontId="14" fillId="6" borderId="3" xfId="0" applyNumberFormat="1" applyFont="1" applyFill="1" applyBorder="1" applyAlignment="1">
      <alignment horizontal="center" wrapText="1"/>
    </xf>
    <xf numFmtId="0" fontId="14" fillId="2" borderId="0" xfId="0" applyNumberFormat="1" applyFont="1" applyFill="1" applyBorder="1" applyAlignment="1">
      <alignment horizontal="right" wrapText="1"/>
    </xf>
    <xf numFmtId="0" fontId="14" fillId="2" borderId="0" xfId="0" applyNumberFormat="1" applyFont="1" applyFill="1" applyBorder="1" applyAlignment="1">
      <alignment wrapText="1"/>
    </xf>
    <xf numFmtId="0" fontId="14" fillId="6" borderId="2" xfId="0" applyNumberFormat="1" applyFont="1" applyFill="1" applyBorder="1" applyAlignment="1">
      <alignment horizontal="center"/>
    </xf>
    <xf numFmtId="0" fontId="14" fillId="6" borderId="2" xfId="0" applyNumberFormat="1" applyFont="1" applyFill="1" applyBorder="1" applyAlignment="1">
      <alignment horizontal="center" wrapText="1"/>
    </xf>
    <xf numFmtId="0" fontId="14" fillId="6" borderId="0" xfId="0" applyNumberFormat="1" applyFont="1" applyFill="1" applyBorder="1" applyAlignment="1">
      <alignment horizontal="center" wrapText="1"/>
    </xf>
    <xf numFmtId="0" fontId="14" fillId="6" borderId="4" xfId="0" applyNumberFormat="1" applyFont="1" applyFill="1" applyBorder="1" applyAlignment="1">
      <alignment horizontal="center"/>
    </xf>
    <xf numFmtId="0" fontId="14" fillId="6" borderId="0" xfId="0" applyNumberFormat="1" applyFont="1" applyFill="1" applyBorder="1" applyAlignment="1">
      <alignment horizontal="center"/>
    </xf>
    <xf numFmtId="0" fontId="14" fillId="6" borderId="3" xfId="0" applyNumberFormat="1" applyFont="1" applyFill="1" applyBorder="1" applyAlignment="1">
      <alignment horizontal="center"/>
    </xf>
    <xf numFmtId="0" fontId="22" fillId="9" borderId="0" xfId="0" applyFont="1" applyFill="1" applyAlignment="1">
      <alignment vertical="center"/>
    </xf>
    <xf numFmtId="2" fontId="21" fillId="2" borderId="0" xfId="0" applyNumberFormat="1" applyFont="1" applyFill="1" applyAlignment="1">
      <alignment horizontal="center" vertical="center" wrapText="1"/>
    </xf>
    <xf numFmtId="0" fontId="16" fillId="8" borderId="0" xfId="0" applyFont="1" applyFill="1" applyBorder="1" applyAlignment="1">
      <alignment horizontal="left" vertical="center"/>
    </xf>
    <xf numFmtId="2" fontId="22" fillId="2" borderId="1" xfId="0" applyNumberFormat="1" applyFont="1" applyFill="1" applyBorder="1" applyAlignment="1">
      <alignment horizontal="left" vertical="center"/>
    </xf>
    <xf numFmtId="1" fontId="22" fillId="2" borderId="1" xfId="0" applyNumberFormat="1" applyFont="1" applyFill="1" applyBorder="1" applyAlignment="1">
      <alignment horizontal="center" vertical="center" wrapText="1"/>
    </xf>
    <xf numFmtId="2" fontId="22" fillId="2" borderId="1" xfId="0" applyNumberFormat="1" applyFont="1" applyFill="1" applyBorder="1" applyAlignment="1">
      <alignment horizontal="center" vertical="center"/>
    </xf>
    <xf numFmtId="1" fontId="22" fillId="2" borderId="1" xfId="0" applyNumberFormat="1" applyFont="1" applyFill="1" applyBorder="1" applyAlignment="1">
      <alignment horizontal="center" vertical="center"/>
    </xf>
    <xf numFmtId="0" fontId="22" fillId="2" borderId="1" xfId="0" applyNumberFormat="1" applyFont="1" applyFill="1" applyBorder="1" applyAlignment="1">
      <alignment horizontal="center" vertical="center"/>
    </xf>
    <xf numFmtId="0" fontId="22" fillId="2" borderId="1" xfId="0" applyNumberFormat="1" applyFont="1" applyFill="1" applyBorder="1" applyAlignment="1">
      <alignment vertical="center"/>
    </xf>
    <xf numFmtId="1" fontId="11" fillId="2" borderId="1" xfId="0" applyNumberFormat="1" applyFont="1" applyFill="1" applyBorder="1" applyAlignment="1">
      <alignment horizontal="center" vertical="center"/>
    </xf>
    <xf numFmtId="0" fontId="22" fillId="2" borderId="7"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22" fillId="2" borderId="1" xfId="0" applyFont="1" applyFill="1" applyBorder="1" applyAlignment="1">
      <alignment vertical="center"/>
    </xf>
    <xf numFmtId="49" fontId="11" fillId="9" borderId="1" xfId="0" applyNumberFormat="1" applyFont="1" applyFill="1" applyBorder="1" applyAlignment="1">
      <alignment horizontal="center" vertical="center" wrapText="1"/>
    </xf>
    <xf numFmtId="0" fontId="22" fillId="2" borderId="1" xfId="0" applyFont="1" applyFill="1" applyBorder="1" applyAlignment="1">
      <alignment horizontal="left" vertical="center"/>
    </xf>
    <xf numFmtId="49" fontId="22" fillId="2" borderId="1" xfId="0" applyNumberFormat="1" applyFont="1" applyFill="1" applyBorder="1" applyAlignment="1">
      <alignment horizontal="center" vertical="center"/>
    </xf>
    <xf numFmtId="0" fontId="22" fillId="2" borderId="1" xfId="0" applyFont="1" applyFill="1" applyBorder="1" applyAlignment="1">
      <alignment vertical="center" wrapText="1"/>
    </xf>
    <xf numFmtId="0" fontId="22" fillId="2" borderId="1" xfId="0" applyNumberFormat="1" applyFont="1" applyFill="1" applyBorder="1" applyAlignment="1">
      <alignment horizontal="left" vertical="center"/>
    </xf>
    <xf numFmtId="49" fontId="22" fillId="2" borderId="1" xfId="0" applyNumberFormat="1" applyFont="1" applyFill="1" applyBorder="1" applyAlignment="1">
      <alignment horizontal="left" vertical="center"/>
    </xf>
    <xf numFmtId="0" fontId="11" fillId="2" borderId="1" xfId="0" applyFont="1" applyFill="1" applyBorder="1" applyAlignment="1">
      <alignment horizontal="center" vertical="center"/>
    </xf>
    <xf numFmtId="1" fontId="11" fillId="2" borderId="1" xfId="0" applyNumberFormat="1" applyFont="1" applyFill="1" applyBorder="1" applyAlignment="1">
      <alignment horizontal="right" vertical="center"/>
    </xf>
    <xf numFmtId="2" fontId="11" fillId="2" borderId="1" xfId="0" applyNumberFormat="1" applyFont="1" applyFill="1" applyBorder="1" applyAlignment="1">
      <alignment horizontal="center" vertical="center"/>
    </xf>
    <xf numFmtId="0" fontId="11" fillId="8" borderId="0" xfId="0" applyNumberFormat="1" applyFont="1" applyFill="1" applyBorder="1" applyAlignment="1">
      <alignment horizontal="center" vertical="center"/>
    </xf>
    <xf numFmtId="0" fontId="11" fillId="8" borderId="1" xfId="0" applyFont="1" applyFill="1" applyBorder="1" applyAlignment="1">
      <alignment horizontal="center" vertical="center"/>
    </xf>
    <xf numFmtId="0" fontId="11" fillId="8" borderId="1" xfId="0" applyFont="1" applyFill="1" applyBorder="1" applyAlignment="1">
      <alignment horizontal="left" vertical="center"/>
    </xf>
    <xf numFmtId="49" fontId="11" fillId="8" borderId="1" xfId="0" applyNumberFormat="1" applyFont="1" applyFill="1" applyBorder="1" applyAlignment="1">
      <alignment horizontal="center" vertical="center" textRotation="90"/>
    </xf>
    <xf numFmtId="49" fontId="11" fillId="8" borderId="1" xfId="0" applyNumberFormat="1" applyFont="1" applyFill="1" applyBorder="1" applyAlignment="1">
      <alignment horizontal="center" vertical="center"/>
    </xf>
    <xf numFmtId="0" fontId="11" fillId="8" borderId="1" xfId="0" applyNumberFormat="1" applyFont="1" applyFill="1" applyBorder="1" applyAlignment="1">
      <alignment horizontal="center" vertical="center"/>
    </xf>
    <xf numFmtId="0" fontId="11" fillId="8" borderId="7" xfId="0" applyFont="1" applyFill="1" applyBorder="1" applyAlignment="1">
      <alignment horizontal="left" vertical="center"/>
    </xf>
    <xf numFmtId="0" fontId="11" fillId="8" borderId="12" xfId="0" applyNumberFormat="1" applyFont="1" applyFill="1" applyBorder="1" applyAlignment="1">
      <alignment horizontal="left" vertical="center"/>
    </xf>
    <xf numFmtId="2" fontId="11" fillId="8" borderId="1" xfId="0" applyNumberFormat="1" applyFont="1" applyFill="1" applyBorder="1" applyAlignment="1">
      <alignment horizontal="right" vertical="center"/>
    </xf>
    <xf numFmtId="2" fontId="11" fillId="8" borderId="7" xfId="0" applyNumberFormat="1" applyFont="1" applyFill="1" applyBorder="1" applyAlignment="1">
      <alignment horizontal="right" vertical="center"/>
    </xf>
    <xf numFmtId="2" fontId="11" fillId="8" borderId="8" xfId="0" applyNumberFormat="1" applyFont="1" applyFill="1" applyBorder="1" applyAlignment="1">
      <alignment horizontal="center" vertical="center"/>
    </xf>
    <xf numFmtId="0" fontId="11" fillId="8" borderId="8" xfId="0" applyNumberFormat="1" applyFont="1" applyFill="1" applyBorder="1" applyAlignment="1">
      <alignment horizontal="center" vertical="center"/>
    </xf>
    <xf numFmtId="2" fontId="11" fillId="8" borderId="1" xfId="0" applyNumberFormat="1" applyFont="1" applyFill="1" applyBorder="1" applyAlignment="1">
      <alignment horizontal="left" vertical="center"/>
    </xf>
    <xf numFmtId="1" fontId="11" fillId="8" borderId="7" xfId="0" applyNumberFormat="1" applyFont="1" applyFill="1" applyBorder="1" applyAlignment="1">
      <alignment horizontal="center" vertical="center"/>
    </xf>
    <xf numFmtId="1" fontId="11" fillId="8" borderId="1" xfId="0" applyNumberFormat="1" applyFont="1" applyFill="1" applyBorder="1" applyAlignment="1">
      <alignment horizontal="center" vertical="center"/>
    </xf>
    <xf numFmtId="1" fontId="11" fillId="8" borderId="25" xfId="0" applyNumberFormat="1" applyFont="1" applyFill="1" applyBorder="1" applyAlignment="1">
      <alignment horizontal="center" vertical="center"/>
    </xf>
    <xf numFmtId="0" fontId="11" fillId="8" borderId="9" xfId="0" applyFont="1" applyFill="1" applyBorder="1" applyAlignment="1">
      <alignment vertical="center"/>
    </xf>
    <xf numFmtId="0" fontId="11" fillId="8" borderId="1" xfId="0" applyFont="1" applyFill="1" applyBorder="1" applyAlignment="1">
      <alignment vertical="center"/>
    </xf>
    <xf numFmtId="1" fontId="11" fillId="8" borderId="14" xfId="0" applyNumberFormat="1" applyFont="1" applyFill="1" applyBorder="1" applyAlignment="1">
      <alignment horizontal="center" vertical="center"/>
    </xf>
    <xf numFmtId="1" fontId="11" fillId="8" borderId="9" xfId="0" applyNumberFormat="1" applyFont="1" applyFill="1" applyBorder="1" applyAlignment="1">
      <alignment horizontal="center" vertical="center"/>
    </xf>
    <xf numFmtId="0" fontId="11" fillId="8" borderId="1" xfId="0" applyNumberFormat="1" applyFont="1" applyFill="1" applyBorder="1" applyAlignment="1">
      <alignment horizontal="left" vertical="center"/>
    </xf>
    <xf numFmtId="49" fontId="11" fillId="8" borderId="0" xfId="0" applyNumberFormat="1" applyFont="1" applyFill="1" applyBorder="1" applyAlignment="1">
      <alignment vertical="center"/>
    </xf>
    <xf numFmtId="0" fontId="11" fillId="8" borderId="0" xfId="0" applyNumberFormat="1" applyFont="1" applyFill="1" applyBorder="1" applyAlignment="1">
      <alignment vertical="center"/>
    </xf>
    <xf numFmtId="0" fontId="11" fillId="8" borderId="0" xfId="0" applyNumberFormat="1" applyFont="1" applyFill="1" applyBorder="1" applyAlignment="1">
      <alignment horizontal="left" vertical="center"/>
    </xf>
    <xf numFmtId="0" fontId="11" fillId="8" borderId="0" xfId="0" applyFont="1" applyFill="1" applyAlignment="1">
      <alignment vertical="center"/>
    </xf>
    <xf numFmtId="49" fontId="11" fillId="8" borderId="0" xfId="0" applyNumberFormat="1" applyFont="1" applyFill="1" applyBorder="1" applyAlignment="1">
      <alignment horizontal="left" vertical="center"/>
    </xf>
    <xf numFmtId="0" fontId="11" fillId="8" borderId="0" xfId="0" applyNumberFormat="1" applyFont="1" applyFill="1" applyAlignment="1">
      <alignment horizontal="center" vertical="center"/>
    </xf>
    <xf numFmtId="2" fontId="11" fillId="8" borderId="0" xfId="0" applyNumberFormat="1" applyFont="1" applyFill="1" applyBorder="1" applyAlignment="1">
      <alignment horizontal="left" vertical="center"/>
    </xf>
    <xf numFmtId="1" fontId="11" fillId="8" borderId="0" xfId="0" applyNumberFormat="1" applyFont="1" applyFill="1" applyBorder="1" applyAlignment="1">
      <alignment horizontal="center" vertical="center"/>
    </xf>
    <xf numFmtId="0" fontId="11" fillId="8" borderId="0" xfId="0" applyFont="1" applyFill="1" applyBorder="1" applyAlignment="1">
      <alignment horizontal="center" vertical="center"/>
    </xf>
    <xf numFmtId="2" fontId="11" fillId="8" borderId="0" xfId="0" applyNumberFormat="1" applyFont="1" applyFill="1" applyBorder="1" applyAlignment="1">
      <alignment horizontal="center" vertical="center"/>
    </xf>
    <xf numFmtId="1" fontId="11" fillId="8" borderId="0" xfId="0" applyNumberFormat="1" applyFont="1" applyFill="1" applyBorder="1" applyAlignment="1">
      <alignment horizontal="right" vertical="center"/>
    </xf>
    <xf numFmtId="0" fontId="11" fillId="8" borderId="0" xfId="0" applyFont="1" applyFill="1" applyBorder="1" applyAlignment="1">
      <alignment vertical="center"/>
    </xf>
    <xf numFmtId="0" fontId="49" fillId="2" borderId="7" xfId="0" applyNumberFormat="1" applyFont="1" applyFill="1" applyBorder="1" applyAlignment="1">
      <alignment vertical="center" wrapText="1"/>
    </xf>
    <xf numFmtId="0" fontId="49" fillId="2" borderId="9" xfId="0" applyNumberFormat="1" applyFont="1" applyFill="1" applyBorder="1" applyAlignment="1">
      <alignment horizontal="left" vertical="center" wrapText="1"/>
    </xf>
    <xf numFmtId="49" fontId="49" fillId="0" borderId="7" xfId="0" applyNumberFormat="1" applyFont="1" applyBorder="1" applyAlignment="1">
      <alignment horizontal="right" vertical="center"/>
    </xf>
    <xf numFmtId="0" fontId="49" fillId="0" borderId="9" xfId="0" applyNumberFormat="1" applyFont="1" applyBorder="1" applyAlignment="1">
      <alignment horizontal="left" vertical="center"/>
    </xf>
    <xf numFmtId="0" fontId="49" fillId="2" borderId="7" xfId="0" applyNumberFormat="1" applyFont="1" applyFill="1" applyBorder="1" applyAlignment="1">
      <alignment horizontal="right" vertical="center" wrapText="1"/>
    </xf>
    <xf numFmtId="0" fontId="49" fillId="2" borderId="1" xfId="0" applyFont="1" applyFill="1" applyBorder="1" applyAlignment="1">
      <alignment horizontal="center" vertical="center"/>
    </xf>
    <xf numFmtId="2" fontId="49" fillId="2" borderId="1" xfId="0" applyNumberFormat="1" applyFont="1" applyFill="1" applyBorder="1" applyAlignment="1">
      <alignment horizontal="center" vertical="center" wrapText="1"/>
    </xf>
    <xf numFmtId="2" fontId="49" fillId="2" borderId="1" xfId="0" applyNumberFormat="1" applyFont="1" applyFill="1" applyBorder="1" applyAlignment="1">
      <alignment horizontal="center" vertical="center"/>
    </xf>
    <xf numFmtId="0" fontId="49" fillId="2" borderId="13" xfId="0" applyNumberFormat="1" applyFont="1" applyFill="1" applyBorder="1" applyAlignment="1">
      <alignment horizontal="left" vertical="center" wrapText="1"/>
    </xf>
    <xf numFmtId="2" fontId="49" fillId="2" borderId="12" xfId="0" applyNumberFormat="1" applyFont="1" applyFill="1" applyBorder="1" applyAlignment="1">
      <alignment horizontal="center" vertical="center"/>
    </xf>
    <xf numFmtId="2" fontId="49" fillId="2" borderId="7" xfId="0" applyNumberFormat="1" applyFont="1" applyFill="1" applyBorder="1" applyAlignment="1">
      <alignment horizontal="center" vertical="center"/>
    </xf>
    <xf numFmtId="0" fontId="22" fillId="0" borderId="0" xfId="0" applyNumberFormat="1" applyFont="1" applyAlignment="1">
      <alignment wrapText="1"/>
    </xf>
    <xf numFmtId="1" fontId="22" fillId="2" borderId="0" xfId="0" applyNumberFormat="1" applyFont="1" applyFill="1" applyBorder="1" applyAlignment="1">
      <alignment horizontal="center" vertical="center"/>
    </xf>
    <xf numFmtId="49" fontId="22" fillId="2" borderId="0" xfId="0" applyNumberFormat="1" applyFont="1" applyFill="1" applyBorder="1" applyAlignment="1">
      <alignment horizontal="center" vertical="center"/>
    </xf>
    <xf numFmtId="0" fontId="22" fillId="2" borderId="0" xfId="0" applyNumberFormat="1" applyFont="1" applyFill="1" applyBorder="1" applyAlignment="1">
      <alignment horizontal="center" vertical="center" wrapText="1"/>
    </xf>
    <xf numFmtId="0" fontId="22" fillId="2" borderId="0" xfId="0" applyFont="1" applyFill="1" applyAlignment="1">
      <alignment vertical="center" wrapText="1"/>
    </xf>
    <xf numFmtId="0" fontId="22" fillId="2" borderId="0" xfId="0" applyNumberFormat="1" applyFont="1" applyFill="1" applyBorder="1" applyAlignment="1">
      <alignment vertical="center"/>
    </xf>
    <xf numFmtId="0" fontId="22" fillId="2" borderId="0" xfId="0" applyNumberFormat="1" applyFont="1" applyFill="1" applyBorder="1" applyAlignment="1">
      <alignment horizontal="center" vertical="center"/>
    </xf>
    <xf numFmtId="0" fontId="22" fillId="2" borderId="0" xfId="0" applyNumberFormat="1" applyFont="1" applyFill="1" applyBorder="1" applyAlignment="1">
      <alignment horizontal="left" vertical="center"/>
    </xf>
    <xf numFmtId="0" fontId="22" fillId="2" borderId="0" xfId="0" applyFont="1" applyFill="1" applyBorder="1" applyAlignment="1">
      <alignment vertical="center"/>
    </xf>
    <xf numFmtId="0" fontId="22" fillId="2" borderId="0" xfId="0" applyNumberFormat="1" applyFont="1" applyFill="1" applyAlignment="1">
      <alignment horizontal="center" vertical="center"/>
    </xf>
    <xf numFmtId="0" fontId="22" fillId="2" borderId="0" xfId="0" applyNumberFormat="1" applyFont="1" applyFill="1" applyAlignment="1">
      <alignment horizontal="center" wrapText="1"/>
    </xf>
    <xf numFmtId="0" fontId="51" fillId="0" borderId="0" xfId="0" applyNumberFormat="1" applyFont="1" applyBorder="1" applyAlignment="1">
      <alignment wrapText="1"/>
    </xf>
    <xf numFmtId="0" fontId="51" fillId="0" borderId="0" xfId="0" applyNumberFormat="1" applyFont="1" applyBorder="1" applyAlignment="1">
      <alignment horizontal="left" wrapText="1"/>
    </xf>
    <xf numFmtId="0" fontId="51" fillId="0" borderId="0" xfId="0" applyNumberFormat="1" applyFont="1" applyBorder="1" applyAlignment="1">
      <alignment horizontal="center" wrapText="1"/>
    </xf>
    <xf numFmtId="0" fontId="11" fillId="0" borderId="0" xfId="0" applyNumberFormat="1" applyFont="1" applyBorder="1" applyAlignment="1"/>
    <xf numFmtId="0" fontId="22" fillId="2" borderId="0" xfId="0" applyFont="1" applyFill="1" applyBorder="1" applyAlignment="1">
      <alignment horizontal="left" vertical="center"/>
    </xf>
    <xf numFmtId="0" fontId="22" fillId="2" borderId="0" xfId="0" applyNumberFormat="1" applyFont="1" applyFill="1" applyBorder="1" applyAlignment="1">
      <alignment horizontal="left" vertical="center" wrapText="1"/>
    </xf>
    <xf numFmtId="49" fontId="22" fillId="2" borderId="0" xfId="0" applyNumberFormat="1" applyFont="1" applyFill="1" applyBorder="1" applyAlignment="1">
      <alignment horizontal="left" vertical="center"/>
    </xf>
    <xf numFmtId="2" fontId="22" fillId="2" borderId="0" xfId="0" applyNumberFormat="1" applyFont="1" applyFill="1" applyBorder="1" applyAlignment="1">
      <alignment horizontal="left" vertical="center"/>
    </xf>
    <xf numFmtId="0" fontId="11" fillId="2" borderId="0" xfId="0" applyNumberFormat="1" applyFont="1" applyFill="1" applyBorder="1" applyAlignment="1">
      <alignment horizontal="center" vertical="center" wrapText="1"/>
    </xf>
    <xf numFmtId="1" fontId="11" fillId="2" borderId="0" xfId="0" applyNumberFormat="1" applyFont="1" applyFill="1" applyBorder="1" applyAlignment="1">
      <alignment horizontal="center" vertical="center"/>
    </xf>
    <xf numFmtId="1" fontId="22" fillId="2" borderId="0" xfId="0" applyNumberFormat="1" applyFont="1" applyFill="1" applyBorder="1" applyAlignment="1">
      <alignment horizontal="center" vertical="center" wrapText="1"/>
    </xf>
    <xf numFmtId="0" fontId="11" fillId="2" borderId="0" xfId="0" applyFont="1" applyFill="1" applyBorder="1" applyAlignment="1">
      <alignment horizontal="center" vertical="center"/>
    </xf>
    <xf numFmtId="1" fontId="11" fillId="2" borderId="0" xfId="0" applyNumberFormat="1" applyFont="1" applyFill="1" applyBorder="1" applyAlignment="1">
      <alignment horizontal="right" vertical="center"/>
    </xf>
    <xf numFmtId="2" fontId="11" fillId="2" borderId="0" xfId="0" applyNumberFormat="1" applyFont="1" applyFill="1" applyBorder="1" applyAlignment="1">
      <alignment horizontal="center" vertical="center"/>
    </xf>
    <xf numFmtId="0" fontId="22" fillId="9" borderId="0" xfId="0" applyNumberFormat="1" applyFont="1" applyFill="1" applyBorder="1" applyAlignment="1">
      <alignment horizontal="center" vertical="center" wrapText="1"/>
    </xf>
    <xf numFmtId="0" fontId="22" fillId="9" borderId="0" xfId="0" applyNumberFormat="1" applyFont="1" applyFill="1" applyAlignment="1">
      <alignment horizontal="center" wrapText="1"/>
    </xf>
    <xf numFmtId="0" fontId="22" fillId="9" borderId="0" xfId="0" applyNumberFormat="1" applyFont="1" applyFill="1" applyAlignment="1">
      <alignment wrapText="1"/>
    </xf>
    <xf numFmtId="0" fontId="51" fillId="9" borderId="0" xfId="0" applyNumberFormat="1" applyFont="1" applyFill="1" applyBorder="1" applyAlignment="1">
      <alignment wrapText="1"/>
    </xf>
    <xf numFmtId="0" fontId="51" fillId="9" borderId="0" xfId="0" applyNumberFormat="1" applyFont="1" applyFill="1" applyBorder="1" applyAlignment="1">
      <alignment horizontal="left" wrapText="1"/>
    </xf>
    <xf numFmtId="0" fontId="51" fillId="9" borderId="0" xfId="0" applyNumberFormat="1" applyFont="1" applyFill="1" applyBorder="1" applyAlignment="1">
      <alignment horizontal="center" wrapText="1"/>
    </xf>
    <xf numFmtId="2" fontId="22" fillId="9" borderId="0" xfId="0" applyNumberFormat="1" applyFont="1" applyFill="1" applyBorder="1" applyAlignment="1">
      <alignment horizontal="center" vertical="center"/>
    </xf>
    <xf numFmtId="0" fontId="11" fillId="9" borderId="0" xfId="0" applyNumberFormat="1" applyFont="1" applyFill="1" applyBorder="1" applyAlignment="1"/>
    <xf numFmtId="0" fontId="22" fillId="9" borderId="0" xfId="0" applyFont="1" applyFill="1" applyBorder="1" applyAlignment="1">
      <alignment horizontal="left" vertical="center"/>
    </xf>
    <xf numFmtId="0" fontId="22" fillId="9" borderId="0" xfId="0" applyNumberFormat="1" applyFont="1" applyFill="1" applyBorder="1" applyAlignment="1">
      <alignment horizontal="left" vertical="center" wrapText="1"/>
    </xf>
    <xf numFmtId="49" fontId="22" fillId="9" borderId="0" xfId="0" applyNumberFormat="1" applyFont="1" applyFill="1" applyBorder="1" applyAlignment="1">
      <alignment horizontal="center" vertical="center"/>
    </xf>
    <xf numFmtId="0" fontId="22" fillId="9" borderId="0" xfId="0" applyFont="1" applyFill="1" applyAlignment="1">
      <alignment vertical="center" wrapText="1"/>
    </xf>
    <xf numFmtId="0" fontId="22" fillId="9" borderId="0" xfId="0" applyNumberFormat="1" applyFont="1" applyFill="1" applyBorder="1" applyAlignment="1">
      <alignment vertical="center"/>
    </xf>
    <xf numFmtId="0" fontId="22" fillId="9" borderId="0" xfId="0" applyNumberFormat="1" applyFont="1" applyFill="1" applyBorder="1" applyAlignment="1">
      <alignment horizontal="center" vertical="center"/>
    </xf>
    <xf numFmtId="0" fontId="22" fillId="9" borderId="0" xfId="0" applyNumberFormat="1" applyFont="1" applyFill="1" applyBorder="1" applyAlignment="1">
      <alignment horizontal="left" vertical="center"/>
    </xf>
    <xf numFmtId="49" fontId="22" fillId="9" borderId="0" xfId="0" applyNumberFormat="1" applyFont="1" applyFill="1" applyBorder="1" applyAlignment="1">
      <alignment horizontal="left" vertical="center"/>
    </xf>
    <xf numFmtId="0" fontId="22" fillId="9" borderId="0" xfId="0" applyNumberFormat="1" applyFont="1" applyFill="1" applyAlignment="1">
      <alignment horizontal="center" vertical="center"/>
    </xf>
    <xf numFmtId="2" fontId="22" fillId="9" borderId="0" xfId="0" applyNumberFormat="1" applyFont="1" applyFill="1" applyBorder="1" applyAlignment="1">
      <alignment horizontal="left" vertical="center"/>
    </xf>
    <xf numFmtId="0" fontId="11" fillId="9" borderId="0" xfId="0" applyNumberFormat="1" applyFont="1" applyFill="1" applyBorder="1" applyAlignment="1">
      <alignment horizontal="center" vertical="center" wrapText="1"/>
    </xf>
    <xf numFmtId="1" fontId="11" fillId="9" borderId="0" xfId="0" applyNumberFormat="1" applyFont="1" applyFill="1" applyBorder="1" applyAlignment="1">
      <alignment horizontal="center" vertical="center"/>
    </xf>
    <xf numFmtId="1" fontId="22" fillId="9" borderId="0" xfId="0" applyNumberFormat="1" applyFont="1" applyFill="1" applyBorder="1" applyAlignment="1">
      <alignment horizontal="center" vertical="center" wrapText="1"/>
    </xf>
    <xf numFmtId="1" fontId="22" fillId="9" borderId="0" xfId="0" applyNumberFormat="1" applyFont="1" applyFill="1" applyBorder="1" applyAlignment="1">
      <alignment horizontal="center" vertical="center"/>
    </xf>
    <xf numFmtId="0" fontId="11" fillId="9" borderId="0" xfId="0" applyFont="1" applyFill="1" applyBorder="1" applyAlignment="1">
      <alignment horizontal="center" vertical="center"/>
    </xf>
    <xf numFmtId="1" fontId="11" fillId="9" borderId="0" xfId="0" applyNumberFormat="1" applyFont="1" applyFill="1" applyBorder="1" applyAlignment="1">
      <alignment horizontal="right" vertical="center"/>
    </xf>
    <xf numFmtId="2" fontId="11" fillId="9" borderId="0" xfId="0" applyNumberFormat="1" applyFont="1" applyFill="1" applyBorder="1" applyAlignment="1">
      <alignment horizontal="center" vertical="center"/>
    </xf>
    <xf numFmtId="0" fontId="22" fillId="9" borderId="0" xfId="0" applyFont="1" applyFill="1" applyBorder="1" applyAlignment="1">
      <alignment vertical="center"/>
    </xf>
    <xf numFmtId="49" fontId="49" fillId="8" borderId="7" xfId="0" applyNumberFormat="1" applyFont="1" applyFill="1" applyBorder="1" applyAlignment="1">
      <alignment horizontal="right" vertical="center"/>
    </xf>
    <xf numFmtId="49" fontId="49" fillId="8" borderId="8" xfId="0" applyNumberFormat="1" applyFont="1" applyFill="1" applyBorder="1" applyAlignment="1">
      <alignment horizontal="center" vertical="center"/>
    </xf>
    <xf numFmtId="0" fontId="49" fillId="2" borderId="8" xfId="0" applyNumberFormat="1" applyFont="1" applyFill="1" applyBorder="1" applyAlignment="1">
      <alignment horizontal="left" vertical="center" wrapText="1"/>
    </xf>
    <xf numFmtId="0" fontId="16" fillId="0" borderId="0" xfId="0" applyNumberFormat="1" applyFont="1" applyBorder="1" applyAlignment="1">
      <alignment vertical="center"/>
    </xf>
    <xf numFmtId="1" fontId="16" fillId="0" borderId="0" xfId="0" applyNumberFormat="1" applyFont="1" applyBorder="1" applyAlignment="1">
      <alignment horizontal="right" vertical="center"/>
    </xf>
    <xf numFmtId="1" fontId="22" fillId="0" borderId="0" xfId="0" applyNumberFormat="1" applyFont="1" applyBorder="1" applyAlignment="1">
      <alignment horizontal="center" vertical="center" wrapText="1"/>
    </xf>
    <xf numFmtId="2" fontId="16" fillId="0" borderId="0" xfId="0" applyNumberFormat="1" applyFont="1" applyBorder="1" applyAlignment="1">
      <alignment vertical="center"/>
    </xf>
    <xf numFmtId="0" fontId="25" fillId="0" borderId="0" xfId="0" applyFont="1" applyFill="1" applyBorder="1" applyAlignment="1">
      <alignment horizontal="left"/>
    </xf>
    <xf numFmtId="2" fontId="49" fillId="0" borderId="8" xfId="0" applyNumberFormat="1" applyFont="1" applyBorder="1" applyAlignment="1">
      <alignment horizontal="left" vertical="center"/>
    </xf>
    <xf numFmtId="2" fontId="49" fillId="8" borderId="8" xfId="0" applyNumberFormat="1" applyFont="1" applyFill="1" applyBorder="1" applyAlignment="1">
      <alignment horizontal="left" vertical="center"/>
    </xf>
    <xf numFmtId="0" fontId="49" fillId="2" borderId="8" xfId="0" applyFont="1" applyFill="1" applyBorder="1" applyAlignment="1">
      <alignment horizontal="left" vertical="center"/>
    </xf>
    <xf numFmtId="49" fontId="21" fillId="2" borderId="0" xfId="0" applyNumberFormat="1" applyFont="1" applyFill="1" applyBorder="1" applyAlignment="1">
      <alignment horizontal="left" vertical="center" wrapText="1"/>
    </xf>
    <xf numFmtId="2" fontId="28" fillId="2" borderId="0" xfId="0" applyNumberFormat="1" applyFont="1" applyFill="1" applyAlignment="1">
      <alignment horizontal="left"/>
    </xf>
    <xf numFmtId="0" fontId="13" fillId="2" borderId="0" xfId="0" applyNumberFormat="1" applyFont="1" applyFill="1" applyBorder="1" applyAlignment="1">
      <alignment horizontal="left"/>
    </xf>
    <xf numFmtId="49" fontId="49" fillId="0" borderId="8" xfId="0" applyNumberFormat="1" applyFont="1" applyBorder="1" applyAlignment="1">
      <alignment horizontal="left" vertical="center"/>
    </xf>
    <xf numFmtId="49" fontId="49" fillId="8" borderId="8" xfId="0" applyNumberFormat="1" applyFont="1" applyFill="1" applyBorder="1" applyAlignment="1">
      <alignment horizontal="left" vertical="center"/>
    </xf>
    <xf numFmtId="0" fontId="49" fillId="8" borderId="9" xfId="0" applyNumberFormat="1" applyFont="1" applyFill="1" applyBorder="1" applyAlignment="1">
      <alignment horizontal="left" vertical="center"/>
    </xf>
    <xf numFmtId="0" fontId="49" fillId="2" borderId="7" xfId="0" applyFont="1" applyFill="1" applyBorder="1" applyAlignment="1">
      <alignment vertical="center"/>
    </xf>
    <xf numFmtId="0" fontId="34" fillId="0" borderId="0" xfId="0" applyNumberFormat="1" applyFont="1" applyBorder="1" applyAlignment="1">
      <alignment horizontal="left" wrapText="1"/>
    </xf>
    <xf numFmtId="2" fontId="21" fillId="2" borderId="0" xfId="0" applyNumberFormat="1" applyFont="1" applyFill="1" applyBorder="1" applyAlignment="1">
      <alignment horizontal="left"/>
    </xf>
    <xf numFmtId="49" fontId="49" fillId="0" borderId="9" xfId="0" applyNumberFormat="1" applyFont="1" applyBorder="1" applyAlignment="1">
      <alignment horizontal="left" vertical="center"/>
    </xf>
    <xf numFmtId="2" fontId="16" fillId="0" borderId="0" xfId="0" applyNumberFormat="1" applyFont="1" applyBorder="1" applyAlignment="1">
      <alignment horizontal="left" vertical="center"/>
    </xf>
    <xf numFmtId="2" fontId="16" fillId="0" borderId="0" xfId="0" applyNumberFormat="1" applyFont="1" applyAlignment="1">
      <alignment horizontal="left" vertical="center"/>
    </xf>
    <xf numFmtId="2" fontId="28" fillId="2" borderId="0" xfId="0" applyNumberFormat="1" applyFont="1" applyFill="1" applyAlignment="1">
      <alignment wrapText="1"/>
    </xf>
    <xf numFmtId="0" fontId="25" fillId="2" borderId="0" xfId="0" applyFont="1" applyFill="1" applyBorder="1" applyAlignment="1">
      <alignment horizontal="right" wrapText="1"/>
    </xf>
    <xf numFmtId="0" fontId="20" fillId="2" borderId="0" xfId="0" applyNumberFormat="1" applyFont="1" applyFill="1" applyAlignment="1">
      <alignment horizontal="center" vertical="center" wrapText="1"/>
    </xf>
    <xf numFmtId="0" fontId="11" fillId="9" borderId="1" xfId="0" applyNumberFormat="1" applyFont="1" applyFill="1" applyBorder="1" applyAlignment="1">
      <alignment horizontal="center" vertical="center" wrapText="1"/>
    </xf>
    <xf numFmtId="0" fontId="14" fillId="0" borderId="0" xfId="0" applyFont="1" applyAlignment="1">
      <alignment horizontal="left" vertical="center"/>
    </xf>
    <xf numFmtId="0" fontId="25" fillId="2" borderId="0" xfId="0" applyFont="1" applyFill="1" applyBorder="1" applyAlignment="1">
      <alignment horizontal="left"/>
    </xf>
    <xf numFmtId="1" fontId="25" fillId="2" borderId="1" xfId="0" applyNumberFormat="1" applyFont="1" applyFill="1" applyBorder="1" applyAlignment="1">
      <alignment horizontal="left" vertical="center" wrapText="1"/>
    </xf>
    <xf numFmtId="0" fontId="16" fillId="0" borderId="0" xfId="0" applyFont="1" applyBorder="1" applyAlignment="1">
      <alignment horizontal="left" vertical="center"/>
    </xf>
    <xf numFmtId="49" fontId="20" fillId="8" borderId="17" xfId="0" applyNumberFormat="1" applyFont="1" applyFill="1" applyBorder="1" applyAlignment="1">
      <alignment horizontal="left" vertical="center"/>
    </xf>
    <xf numFmtId="49" fontId="21" fillId="2" borderId="0" xfId="0" applyNumberFormat="1" applyFont="1" applyFill="1" applyBorder="1" applyAlignment="1">
      <alignment horizontal="center"/>
    </xf>
    <xf numFmtId="49" fontId="49" fillId="2" borderId="7" xfId="0" applyNumberFormat="1" applyFont="1" applyFill="1" applyBorder="1" applyAlignment="1">
      <alignment horizontal="center" vertical="center"/>
    </xf>
    <xf numFmtId="0" fontId="2" fillId="0" borderId="19" xfId="0" applyFont="1" applyBorder="1" applyAlignment="1">
      <alignment horizontal="center" vertical="center" wrapText="1"/>
    </xf>
    <xf numFmtId="0" fontId="6" fillId="12" borderId="0" xfId="0" applyFont="1" applyFill="1"/>
    <xf numFmtId="0" fontId="52" fillId="12" borderId="7" xfId="0" applyFont="1" applyFill="1" applyBorder="1" applyAlignment="1">
      <alignment horizontal="right" vertical="center"/>
    </xf>
    <xf numFmtId="0" fontId="52" fillId="12" borderId="8" xfId="0" applyFont="1" applyFill="1" applyBorder="1" applyAlignment="1">
      <alignment horizontal="left" vertical="center"/>
    </xf>
    <xf numFmtId="0" fontId="0" fillId="8" borderId="0" xfId="0" applyFill="1" applyAlignment="1">
      <alignment horizontal="left"/>
    </xf>
    <xf numFmtId="0" fontId="14" fillId="8" borderId="0" xfId="0" applyFont="1" applyFill="1" applyAlignment="1">
      <alignment vertical="center"/>
    </xf>
    <xf numFmtId="0" fontId="0" fillId="0" borderId="0" xfId="0" applyBorder="1"/>
    <xf numFmtId="2" fontId="11" fillId="8" borderId="1" xfId="0" applyNumberFormat="1" applyFont="1" applyFill="1" applyBorder="1" applyAlignment="1">
      <alignment horizontal="center" vertical="center"/>
    </xf>
    <xf numFmtId="0" fontId="14" fillId="0" borderId="0" xfId="0" applyFont="1" applyAlignment="1">
      <alignment horizontal="right" vertical="center"/>
    </xf>
    <xf numFmtId="0" fontId="22" fillId="2" borderId="9" xfId="0" applyFont="1" applyFill="1" applyBorder="1" applyAlignment="1">
      <alignment vertical="center"/>
    </xf>
    <xf numFmtId="0" fontId="25" fillId="0" borderId="0" xfId="0" applyFont="1" applyBorder="1" applyAlignment="1">
      <alignment vertical="center"/>
    </xf>
    <xf numFmtId="0" fontId="3" fillId="8" borderId="20" xfId="0" applyFont="1" applyFill="1" applyBorder="1" applyAlignment="1">
      <alignment horizontal="center" vertical="center" wrapText="1"/>
    </xf>
    <xf numFmtId="2" fontId="11" fillId="8" borderId="13" xfId="0" applyNumberFormat="1" applyFont="1" applyFill="1" applyBorder="1" applyAlignment="1">
      <alignment horizontal="right" vertical="center"/>
    </xf>
    <xf numFmtId="2" fontId="11" fillId="8" borderId="23" xfId="0" applyNumberFormat="1" applyFont="1" applyFill="1" applyBorder="1" applyAlignment="1">
      <alignment horizontal="center" vertical="center"/>
    </xf>
    <xf numFmtId="0" fontId="49" fillId="8" borderId="13" xfId="0" applyNumberFormat="1" applyFont="1" applyFill="1" applyBorder="1" applyAlignment="1">
      <alignment horizontal="center" vertical="center"/>
    </xf>
    <xf numFmtId="0" fontId="49" fillId="8" borderId="12" xfId="0" applyNumberFormat="1" applyFont="1" applyFill="1" applyBorder="1" applyAlignment="1">
      <alignment horizontal="left" vertical="center" wrapText="1"/>
    </xf>
    <xf numFmtId="0" fontId="22" fillId="0" borderId="0" xfId="0" applyFont="1" applyAlignment="1">
      <alignment vertical="center"/>
    </xf>
    <xf numFmtId="0" fontId="11" fillId="0" borderId="6" xfId="0" applyFont="1" applyBorder="1" applyAlignment="1">
      <alignment vertical="center" wrapText="1"/>
    </xf>
    <xf numFmtId="0" fontId="22" fillId="2" borderId="0" xfId="0" applyFont="1" applyFill="1" applyAlignment="1">
      <alignment horizontal="right" vertical="center"/>
    </xf>
    <xf numFmtId="0" fontId="11" fillId="0" borderId="10" xfId="0" applyFont="1" applyBorder="1" applyAlignment="1">
      <alignment vertical="center" wrapText="1"/>
    </xf>
    <xf numFmtId="0" fontId="11" fillId="0" borderId="3" xfId="0" applyFont="1" applyBorder="1" applyAlignment="1">
      <alignment vertical="center" wrapText="1"/>
    </xf>
    <xf numFmtId="1" fontId="53" fillId="9" borderId="1" xfId="0" applyNumberFormat="1" applyFont="1" applyFill="1" applyBorder="1" applyAlignment="1">
      <alignment horizontal="center" vertical="center" textRotation="90" wrapText="1"/>
    </xf>
    <xf numFmtId="0" fontId="22" fillId="0" borderId="0" xfId="0" applyFont="1" applyBorder="1" applyAlignment="1">
      <alignment vertical="center"/>
    </xf>
    <xf numFmtId="0" fontId="11" fillId="0" borderId="8" xfId="0" applyFont="1" applyBorder="1" applyAlignment="1">
      <alignment vertical="center" wrapText="1"/>
    </xf>
    <xf numFmtId="49" fontId="22" fillId="2" borderId="20" xfId="0" applyNumberFormat="1" applyFont="1" applyFill="1" applyBorder="1" applyAlignment="1">
      <alignment horizontal="center" vertical="center" wrapText="1"/>
    </xf>
    <xf numFmtId="49" fontId="22" fillId="2" borderId="17" xfId="0" applyNumberFormat="1" applyFont="1" applyFill="1" applyBorder="1" applyAlignment="1">
      <alignment horizontal="left" vertical="center" wrapText="1"/>
    </xf>
    <xf numFmtId="49" fontId="22" fillId="2" borderId="17" xfId="0" applyNumberFormat="1" applyFont="1" applyFill="1" applyBorder="1" applyAlignment="1">
      <alignment horizontal="center" vertical="center" wrapText="1"/>
    </xf>
    <xf numFmtId="0" fontId="22" fillId="2" borderId="19" xfId="0" applyNumberFormat="1" applyFont="1" applyFill="1" applyBorder="1" applyAlignment="1">
      <alignment horizontal="left" vertical="center" wrapText="1"/>
    </xf>
    <xf numFmtId="2" fontId="22" fillId="8" borderId="1" xfId="0" applyNumberFormat="1" applyFont="1" applyFill="1" applyBorder="1" applyAlignment="1">
      <alignment horizontal="left" vertical="center"/>
    </xf>
    <xf numFmtId="1" fontId="22" fillId="8" borderId="9" xfId="0" applyNumberFormat="1" applyFont="1" applyFill="1" applyBorder="1" applyAlignment="1">
      <alignment horizontal="center" vertical="center"/>
    </xf>
    <xf numFmtId="49" fontId="22" fillId="8" borderId="1" xfId="0" applyNumberFormat="1" applyFont="1" applyFill="1" applyBorder="1" applyAlignment="1">
      <alignment vertical="center"/>
    </xf>
    <xf numFmtId="0" fontId="54" fillId="8" borderId="12" xfId="0" applyNumberFormat="1" applyFont="1" applyFill="1" applyBorder="1" applyAlignment="1">
      <alignment horizontal="left" vertical="center" wrapText="1"/>
    </xf>
    <xf numFmtId="0" fontId="22" fillId="2" borderId="7" xfId="0" applyNumberFormat="1" applyFont="1" applyFill="1" applyBorder="1" applyAlignment="1">
      <alignment horizontal="left" vertical="center" wrapText="1"/>
    </xf>
    <xf numFmtId="0" fontId="49" fillId="8" borderId="12" xfId="0" applyNumberFormat="1" applyFont="1" applyFill="1" applyBorder="1" applyAlignment="1">
      <alignment horizontal="center" vertical="center" wrapText="1"/>
    </xf>
    <xf numFmtId="0" fontId="22" fillId="2" borderId="23" xfId="0" applyNumberFormat="1" applyFont="1" applyFill="1" applyBorder="1" applyAlignment="1">
      <alignment horizontal="left" vertical="center" wrapText="1"/>
    </xf>
    <xf numFmtId="0" fontId="22" fillId="8" borderId="12" xfId="0" applyNumberFormat="1" applyFont="1" applyFill="1" applyBorder="1" applyAlignment="1">
      <alignment vertical="center" wrapText="1"/>
    </xf>
    <xf numFmtId="2" fontId="22" fillId="2" borderId="26" xfId="0" applyNumberFormat="1" applyFont="1" applyFill="1" applyBorder="1" applyAlignment="1">
      <alignment horizontal="center" vertical="center"/>
    </xf>
    <xf numFmtId="2" fontId="22" fillId="2" borderId="27" xfId="0" applyNumberFormat="1" applyFont="1" applyFill="1" applyBorder="1" applyAlignment="1">
      <alignment vertical="center"/>
    </xf>
    <xf numFmtId="0" fontId="41" fillId="0" borderId="1" xfId="0" applyFont="1" applyFill="1" applyBorder="1" applyAlignment="1">
      <alignment vertical="center"/>
    </xf>
    <xf numFmtId="0" fontId="22" fillId="2" borderId="7" xfId="0" applyNumberFormat="1" applyFont="1" applyFill="1" applyBorder="1" applyAlignment="1">
      <alignment horizontal="right" vertical="center"/>
    </xf>
    <xf numFmtId="0" fontId="22" fillId="2" borderId="17" xfId="0" applyNumberFormat="1" applyFont="1" applyFill="1" applyBorder="1" applyAlignment="1">
      <alignment horizontal="left" vertical="center"/>
    </xf>
    <xf numFmtId="0" fontId="22" fillId="2" borderId="19" xfId="0" applyNumberFormat="1" applyFont="1" applyFill="1" applyBorder="1" applyAlignment="1">
      <alignment horizontal="left" vertical="center"/>
    </xf>
    <xf numFmtId="2" fontId="22" fillId="0" borderId="1" xfId="0" applyNumberFormat="1" applyFont="1" applyFill="1" applyBorder="1" applyAlignment="1">
      <alignment horizontal="center" vertical="center"/>
    </xf>
    <xf numFmtId="2" fontId="22" fillId="0" borderId="7" xfId="0" applyNumberFormat="1" applyFont="1" applyFill="1" applyBorder="1" applyAlignment="1">
      <alignment horizontal="center" vertical="center"/>
    </xf>
    <xf numFmtId="2" fontId="22" fillId="0" borderId="20" xfId="0" applyNumberFormat="1" applyFont="1" applyFill="1" applyBorder="1" applyAlignment="1">
      <alignment horizontal="center" vertical="center"/>
    </xf>
    <xf numFmtId="2" fontId="22" fillId="0" borderId="17" xfId="0" applyNumberFormat="1" applyFont="1" applyFill="1" applyBorder="1" applyAlignment="1">
      <alignment horizontal="left" vertical="center"/>
    </xf>
    <xf numFmtId="2" fontId="22" fillId="0" borderId="17" xfId="0" applyNumberFormat="1" applyFont="1" applyFill="1" applyBorder="1" applyAlignment="1">
      <alignment horizontal="center" vertical="center"/>
    </xf>
    <xf numFmtId="1" fontId="22" fillId="0" borderId="19" xfId="0" applyNumberFormat="1" applyFont="1" applyFill="1" applyBorder="1" applyAlignment="1">
      <alignment horizontal="left" vertical="center"/>
    </xf>
    <xf numFmtId="0" fontId="11" fillId="5" borderId="13" xfId="0" applyFont="1" applyFill="1" applyBorder="1" applyAlignment="1">
      <alignment horizontal="center" vertical="center"/>
    </xf>
    <xf numFmtId="0" fontId="22" fillId="2" borderId="12" xfId="0" applyFont="1" applyFill="1" applyBorder="1" applyAlignment="1">
      <alignment horizontal="left" vertical="center"/>
    </xf>
    <xf numFmtId="1" fontId="22" fillId="2" borderId="7" xfId="0" applyNumberFormat="1" applyFont="1" applyFill="1" applyBorder="1" applyAlignment="1">
      <alignment horizontal="right" vertical="center"/>
    </xf>
    <xf numFmtId="2" fontId="22" fillId="2" borderId="17" xfId="0" applyNumberFormat="1" applyFont="1" applyFill="1" applyBorder="1" applyAlignment="1">
      <alignment horizontal="left" vertical="center"/>
    </xf>
    <xf numFmtId="1" fontId="22" fillId="2" borderId="28" xfId="0" applyNumberFormat="1" applyFont="1" applyFill="1" applyBorder="1" applyAlignment="1">
      <alignment horizontal="left" vertical="center"/>
    </xf>
    <xf numFmtId="2" fontId="22" fillId="2" borderId="7" xfId="0" applyNumberFormat="1" applyFont="1" applyFill="1" applyBorder="1" applyAlignment="1">
      <alignment horizontal="left" vertical="center"/>
    </xf>
    <xf numFmtId="49" fontId="22" fillId="2" borderId="20" xfId="0" applyNumberFormat="1" applyFont="1" applyFill="1" applyBorder="1" applyAlignment="1">
      <alignment horizontal="right" vertical="center"/>
    </xf>
    <xf numFmtId="49" fontId="22" fillId="2" borderId="17" xfId="0" applyNumberFormat="1" applyFont="1" applyFill="1" applyBorder="1" applyAlignment="1">
      <alignment horizontal="left" vertical="center"/>
    </xf>
    <xf numFmtId="49" fontId="22" fillId="2" borderId="17" xfId="0" applyNumberFormat="1" applyFont="1" applyFill="1" applyBorder="1" applyAlignment="1">
      <alignment horizontal="center" vertical="center"/>
    </xf>
    <xf numFmtId="0" fontId="22" fillId="2" borderId="8" xfId="0" applyNumberFormat="1" applyFont="1" applyFill="1" applyBorder="1" applyAlignment="1">
      <alignment horizontal="left" vertical="center" wrapText="1"/>
    </xf>
    <xf numFmtId="49" fontId="55" fillId="2" borderId="9" xfId="0" applyNumberFormat="1" applyFont="1" applyFill="1" applyBorder="1" applyAlignment="1">
      <alignment vertical="center" wrapText="1"/>
    </xf>
    <xf numFmtId="0" fontId="49" fillId="7" borderId="1" xfId="0" applyNumberFormat="1" applyFont="1" applyFill="1" applyBorder="1" applyAlignment="1">
      <alignment horizontal="center" vertical="center"/>
    </xf>
    <xf numFmtId="1" fontId="49" fillId="8" borderId="1" xfId="0" applyNumberFormat="1" applyFont="1" applyFill="1" applyBorder="1" applyAlignment="1">
      <alignment horizontal="center" vertical="center"/>
    </xf>
    <xf numFmtId="0" fontId="22" fillId="2" borderId="1" xfId="0" applyFont="1" applyFill="1" applyBorder="1" applyAlignment="1">
      <alignment horizontal="center" vertical="center"/>
    </xf>
    <xf numFmtId="1" fontId="22" fillId="2" borderId="8" xfId="0" applyNumberFormat="1" applyFont="1" applyFill="1" applyBorder="1" applyAlignment="1">
      <alignment horizontal="right" vertical="center" wrapText="1"/>
    </xf>
    <xf numFmtId="1" fontId="22" fillId="2" borderId="9" xfId="0" applyNumberFormat="1" applyFont="1" applyFill="1" applyBorder="1" applyAlignment="1">
      <alignment horizontal="left" vertical="center" wrapText="1"/>
    </xf>
    <xf numFmtId="49" fontId="22" fillId="2" borderId="20" xfId="0" applyNumberFormat="1" applyFont="1" applyFill="1" applyBorder="1" applyAlignment="1">
      <alignment horizontal="right" vertical="center" wrapText="1"/>
    </xf>
    <xf numFmtId="49" fontId="22" fillId="0" borderId="17" xfId="0" applyNumberFormat="1" applyFont="1" applyFill="1" applyBorder="1" applyAlignment="1">
      <alignment horizontal="left" vertical="center"/>
    </xf>
    <xf numFmtId="49" fontId="22" fillId="0" borderId="8" xfId="0" applyNumberFormat="1" applyFont="1" applyFill="1" applyBorder="1" applyAlignment="1">
      <alignment horizontal="left" vertical="center"/>
    </xf>
    <xf numFmtId="0" fontId="22" fillId="0" borderId="9" xfId="0" applyNumberFormat="1" applyFont="1" applyFill="1" applyBorder="1" applyAlignment="1">
      <alignment horizontal="left" vertical="center" wrapText="1"/>
    </xf>
    <xf numFmtId="0" fontId="11" fillId="8" borderId="13" xfId="0" applyFont="1" applyFill="1" applyBorder="1" applyAlignment="1">
      <alignment horizontal="center" vertical="center"/>
    </xf>
    <xf numFmtId="0" fontId="31" fillId="2" borderId="12" xfId="0" applyFont="1" applyFill="1" applyBorder="1" applyAlignment="1">
      <alignment horizontal="left" vertical="center"/>
    </xf>
    <xf numFmtId="1" fontId="22" fillId="2" borderId="7" xfId="0" applyNumberFormat="1" applyFont="1" applyFill="1" applyBorder="1" applyAlignment="1">
      <alignment horizontal="right" vertical="center" wrapText="1"/>
    </xf>
    <xf numFmtId="0" fontId="22" fillId="2" borderId="9" xfId="0" applyFont="1" applyFill="1" applyBorder="1" applyAlignment="1">
      <alignment horizontal="left" vertical="center"/>
    </xf>
    <xf numFmtId="49" fontId="22" fillId="2" borderId="8" xfId="0" applyNumberFormat="1" applyFont="1" applyFill="1" applyBorder="1" applyAlignment="1">
      <alignment horizontal="right" vertical="center" wrapText="1"/>
    </xf>
    <xf numFmtId="49" fontId="22" fillId="2" borderId="28" xfId="0" applyNumberFormat="1" applyFont="1" applyFill="1" applyBorder="1" applyAlignment="1">
      <alignment horizontal="center" vertical="center" wrapText="1"/>
    </xf>
    <xf numFmtId="49" fontId="22" fillId="2" borderId="8" xfId="0" applyNumberFormat="1" applyFont="1" applyFill="1" applyBorder="1" applyAlignment="1">
      <alignment horizontal="left" vertical="center"/>
    </xf>
    <xf numFmtId="0" fontId="22" fillId="0" borderId="8" xfId="0" applyFont="1" applyFill="1" applyBorder="1" applyAlignment="1">
      <alignment vertical="center"/>
    </xf>
    <xf numFmtId="0" fontId="22" fillId="9" borderId="1" xfId="0" applyFont="1" applyFill="1" applyBorder="1" applyAlignment="1">
      <alignment vertical="center"/>
    </xf>
    <xf numFmtId="0" fontId="22" fillId="9" borderId="3" xfId="0" applyFont="1" applyFill="1" applyBorder="1" applyAlignment="1">
      <alignment vertical="center"/>
    </xf>
    <xf numFmtId="0" fontId="21" fillId="2" borderId="0" xfId="0" applyFont="1" applyFill="1" applyBorder="1" applyAlignment="1">
      <alignment horizontal="left" wrapText="1"/>
    </xf>
    <xf numFmtId="0" fontId="0" fillId="0" borderId="0" xfId="0" applyAlignment="1">
      <alignment horizontal="center"/>
    </xf>
    <xf numFmtId="0" fontId="11" fillId="9" borderId="1" xfId="0" applyFont="1" applyFill="1" applyBorder="1" applyAlignment="1">
      <alignment horizontal="center" vertical="center" wrapText="1"/>
    </xf>
    <xf numFmtId="0" fontId="13" fillId="0" borderId="0" xfId="0" applyFont="1" applyAlignment="1">
      <alignment wrapText="1"/>
    </xf>
    <xf numFmtId="0" fontId="22" fillId="0" borderId="12" xfId="0" applyFont="1" applyBorder="1" applyAlignment="1">
      <alignment horizontal="center" vertical="center" wrapText="1"/>
    </xf>
    <xf numFmtId="0" fontId="51" fillId="12" borderId="1" xfId="0" applyFont="1" applyFill="1" applyBorder="1" applyAlignment="1">
      <alignment horizontal="center" vertical="center"/>
    </xf>
    <xf numFmtId="0" fontId="13" fillId="0" borderId="0" xfId="0" applyFont="1" applyAlignment="1">
      <alignment vertical="center" wrapText="1"/>
    </xf>
    <xf numFmtId="2" fontId="56" fillId="2" borderId="0" xfId="0" applyNumberFormat="1" applyFont="1" applyFill="1" applyAlignment="1">
      <alignment horizontal="left"/>
    </xf>
    <xf numFmtId="2" fontId="25" fillId="2" borderId="0" xfId="0" applyNumberFormat="1" applyFont="1" applyFill="1" applyAlignment="1">
      <alignment horizontal="left" wrapText="1"/>
    </xf>
    <xf numFmtId="2" fontId="56" fillId="2" borderId="0" xfId="0" applyNumberFormat="1" applyFont="1" applyFill="1" applyAlignment="1">
      <alignment horizontal="left" wrapText="1"/>
    </xf>
    <xf numFmtId="2" fontId="56" fillId="2" borderId="0" xfId="0" applyNumberFormat="1" applyFont="1" applyFill="1" applyAlignment="1">
      <alignment horizontal="center"/>
    </xf>
    <xf numFmtId="2" fontId="56" fillId="2" borderId="0" xfId="0" applyNumberFormat="1" applyFont="1" applyFill="1" applyAlignment="1"/>
    <xf numFmtId="0" fontId="21" fillId="2" borderId="0" xfId="0" applyNumberFormat="1" applyFont="1" applyFill="1" applyAlignment="1">
      <alignment horizontal="right"/>
    </xf>
    <xf numFmtId="0" fontId="21" fillId="2" borderId="0" xfId="0" applyNumberFormat="1" applyFont="1" applyFill="1" applyBorder="1" applyAlignment="1">
      <alignment horizontal="left"/>
    </xf>
    <xf numFmtId="0" fontId="11" fillId="0" borderId="1" xfId="0" applyFont="1" applyBorder="1" applyAlignment="1">
      <alignment vertical="center" wrapText="1"/>
    </xf>
    <xf numFmtId="0" fontId="11" fillId="0" borderId="7" xfId="0" applyFont="1" applyBorder="1" applyAlignment="1">
      <alignment vertical="center" wrapText="1"/>
    </xf>
    <xf numFmtId="0" fontId="11" fillId="9" borderId="3" xfId="0" applyFont="1" applyFill="1" applyBorder="1" applyAlignment="1">
      <alignment vertical="center" wrapText="1"/>
    </xf>
    <xf numFmtId="0" fontId="22" fillId="0" borderId="8" xfId="0" applyFont="1" applyBorder="1" applyAlignment="1">
      <alignment vertical="center" wrapText="1"/>
    </xf>
    <xf numFmtId="0" fontId="22" fillId="0" borderId="13" xfId="0" applyFont="1" applyBorder="1" applyAlignment="1">
      <alignment horizontal="center" vertical="center" wrapText="1"/>
    </xf>
    <xf numFmtId="0" fontId="51" fillId="12" borderId="0" xfId="0" applyFont="1" applyFill="1" applyAlignment="1">
      <alignment horizontal="center" vertical="center"/>
    </xf>
    <xf numFmtId="0" fontId="51" fillId="12" borderId="1" xfId="0" applyFont="1" applyFill="1" applyBorder="1" applyAlignment="1">
      <alignment horizontal="center" vertical="center" wrapText="1"/>
    </xf>
    <xf numFmtId="0" fontId="51" fillId="12" borderId="7" xfId="0" applyFont="1" applyFill="1" applyBorder="1" applyAlignment="1">
      <alignment vertical="center"/>
    </xf>
    <xf numFmtId="0" fontId="51" fillId="12" borderId="1" xfId="0" applyFont="1" applyFill="1" applyBorder="1" applyAlignment="1">
      <alignment vertical="center"/>
    </xf>
    <xf numFmtId="0" fontId="51" fillId="12" borderId="0" xfId="0" applyFont="1" applyFill="1" applyAlignment="1">
      <alignment horizontal="left" vertical="center"/>
    </xf>
    <xf numFmtId="0" fontId="11" fillId="11" borderId="0" xfId="0" applyFont="1" applyFill="1" applyAlignment="1">
      <alignment horizontal="center" vertical="center"/>
    </xf>
    <xf numFmtId="0" fontId="11" fillId="11" borderId="1" xfId="0" applyFont="1" applyFill="1" applyBorder="1" applyAlignment="1">
      <alignment horizontal="center" vertical="center"/>
    </xf>
    <xf numFmtId="0" fontId="11" fillId="11" borderId="1" xfId="0" applyFont="1" applyFill="1" applyBorder="1" applyAlignment="1">
      <alignment horizontal="center" vertical="center" wrapText="1"/>
    </xf>
    <xf numFmtId="0" fontId="11" fillId="9" borderId="1" xfId="0" applyFont="1" applyFill="1" applyBorder="1" applyAlignment="1">
      <alignment horizontal="center" vertical="center"/>
    </xf>
    <xf numFmtId="0" fontId="11" fillId="11" borderId="7" xfId="0" applyFont="1" applyFill="1" applyBorder="1" applyAlignment="1">
      <alignment vertical="center"/>
    </xf>
    <xf numFmtId="0" fontId="11" fillId="9" borderId="1" xfId="0" applyFont="1" applyFill="1" applyBorder="1" applyAlignment="1">
      <alignment vertical="center"/>
    </xf>
    <xf numFmtId="0" fontId="11" fillId="11" borderId="13" xfId="0" applyFont="1" applyFill="1" applyBorder="1" applyAlignment="1">
      <alignment horizontal="center" vertical="center" wrapText="1"/>
    </xf>
    <xf numFmtId="0" fontId="11" fillId="11" borderId="23" xfId="0" applyFont="1" applyFill="1" applyBorder="1" applyAlignment="1">
      <alignment horizontal="center" vertical="center"/>
    </xf>
    <xf numFmtId="0" fontId="11" fillId="11" borderId="12" xfId="0" applyFont="1" applyFill="1" applyBorder="1" applyAlignment="1">
      <alignment horizontal="center" vertical="center"/>
    </xf>
    <xf numFmtId="0" fontId="11" fillId="11" borderId="7" xfId="0" applyFont="1" applyFill="1" applyBorder="1" applyAlignment="1">
      <alignment horizontal="center" vertical="center"/>
    </xf>
    <xf numFmtId="0" fontId="11" fillId="11" borderId="9" xfId="0" applyFont="1" applyFill="1" applyBorder="1" applyAlignment="1">
      <alignment horizontal="center" vertical="center"/>
    </xf>
    <xf numFmtId="0" fontId="11" fillId="11" borderId="8" xfId="0" applyFont="1" applyFill="1" applyBorder="1" applyAlignment="1">
      <alignment horizontal="center" vertical="center"/>
    </xf>
    <xf numFmtId="0" fontId="11" fillId="11" borderId="8" xfId="0" applyFont="1" applyFill="1" applyBorder="1" applyAlignment="1">
      <alignment horizontal="left" vertical="center"/>
    </xf>
    <xf numFmtId="0" fontId="11" fillId="10" borderId="8" xfId="0" applyFont="1" applyFill="1" applyBorder="1" applyAlignment="1">
      <alignment horizontal="center" vertical="center" textRotation="90"/>
    </xf>
    <xf numFmtId="0" fontId="11" fillId="10" borderId="9" xfId="0" applyFont="1" applyFill="1" applyBorder="1" applyAlignment="1">
      <alignment horizontal="center" vertical="center"/>
    </xf>
    <xf numFmtId="0" fontId="11" fillId="11" borderId="7" xfId="0" applyFont="1" applyFill="1" applyBorder="1" applyAlignment="1">
      <alignment horizontal="center" vertical="center" wrapText="1"/>
    </xf>
    <xf numFmtId="0" fontId="11" fillId="10" borderId="7" xfId="0" applyFont="1" applyFill="1" applyBorder="1" applyAlignment="1">
      <alignment horizontal="center" vertical="center"/>
    </xf>
    <xf numFmtId="0" fontId="11" fillId="9" borderId="9" xfId="0" applyFont="1" applyFill="1" applyBorder="1" applyAlignment="1">
      <alignment horizontal="center" vertical="center"/>
    </xf>
    <xf numFmtId="0" fontId="11" fillId="9" borderId="0" xfId="0" applyFont="1" applyFill="1" applyAlignment="1">
      <alignment horizontal="left" vertical="center"/>
    </xf>
    <xf numFmtId="0" fontId="11" fillId="9" borderId="0" xfId="0" applyFont="1" applyFill="1" applyAlignment="1">
      <alignment horizontal="center" vertical="center"/>
    </xf>
    <xf numFmtId="0" fontId="11" fillId="9" borderId="0" xfId="0" applyFont="1" applyFill="1" applyAlignment="1">
      <alignment horizontal="center" wrapText="1"/>
    </xf>
    <xf numFmtId="0" fontId="11" fillId="9" borderId="0" xfId="0" applyFont="1" applyFill="1" applyAlignment="1">
      <alignment horizontal="left" wrapText="1"/>
    </xf>
    <xf numFmtId="0" fontId="51" fillId="12" borderId="12" xfId="0" applyFont="1" applyFill="1" applyBorder="1" applyAlignment="1">
      <alignment horizontal="center" vertical="center"/>
    </xf>
    <xf numFmtId="0" fontId="11" fillId="11" borderId="20" xfId="0" applyFont="1" applyFill="1" applyBorder="1" applyAlignment="1">
      <alignment horizontal="center" vertical="center"/>
    </xf>
    <xf numFmtId="0" fontId="11" fillId="11" borderId="19" xfId="0" applyFont="1" applyFill="1" applyBorder="1" applyAlignment="1">
      <alignment horizontal="center" vertical="center" wrapText="1"/>
    </xf>
    <xf numFmtId="0" fontId="11" fillId="11" borderId="9" xfId="0" applyFont="1" applyFill="1" applyBorder="1" applyAlignment="1">
      <alignment horizontal="left" vertical="center"/>
    </xf>
    <xf numFmtId="0" fontId="11" fillId="0" borderId="0" xfId="0" applyFont="1" applyAlignment="1">
      <alignment horizontal="center" vertical="center"/>
    </xf>
    <xf numFmtId="0" fontId="11" fillId="0" borderId="0" xfId="0" applyFont="1" applyAlignment="1">
      <alignment horizontal="center" wrapText="1"/>
    </xf>
    <xf numFmtId="0" fontId="11" fillId="0" borderId="0" xfId="0" applyFont="1" applyAlignment="1">
      <alignment horizontal="left" wrapText="1"/>
    </xf>
    <xf numFmtId="0" fontId="25" fillId="8" borderId="0" xfId="0" applyFont="1" applyFill="1" applyAlignment="1">
      <alignment horizontal="left"/>
    </xf>
    <xf numFmtId="0" fontId="25" fillId="0" borderId="1" xfId="0" applyFont="1" applyBorder="1" applyAlignment="1">
      <alignment horizontal="center" vertical="center" wrapText="1"/>
    </xf>
    <xf numFmtId="0" fontId="0" fillId="0" borderId="0" xfId="0" applyAlignment="1">
      <alignment horizontal="center" wrapText="1"/>
    </xf>
    <xf numFmtId="0" fontId="20" fillId="8" borderId="2" xfId="0" applyNumberFormat="1" applyFont="1" applyFill="1" applyBorder="1" applyAlignment="1">
      <alignment horizontal="center" vertical="center" wrapText="1"/>
    </xf>
    <xf numFmtId="1" fontId="20" fillId="8" borderId="9" xfId="0" applyNumberFormat="1" applyFont="1" applyFill="1" applyBorder="1" applyAlignment="1">
      <alignment horizontal="left" vertical="center" wrapText="1"/>
    </xf>
    <xf numFmtId="0" fontId="22" fillId="2" borderId="1" xfId="0" applyFont="1" applyFill="1" applyBorder="1" applyAlignment="1">
      <alignment horizontal="left" vertical="center" wrapText="1"/>
    </xf>
    <xf numFmtId="49" fontId="22" fillId="2" borderId="1" xfId="0" applyNumberFormat="1" applyFont="1" applyFill="1" applyBorder="1" applyAlignment="1">
      <alignment horizontal="center" vertical="center" textRotation="90" wrapText="1"/>
    </xf>
    <xf numFmtId="49" fontId="22" fillId="2" borderId="1" xfId="0" applyNumberFormat="1" applyFont="1" applyFill="1" applyBorder="1" applyAlignment="1">
      <alignment horizontal="center" vertical="center" wrapText="1"/>
    </xf>
    <xf numFmtId="0" fontId="22" fillId="2" borderId="12" xfId="0" applyNumberFormat="1" applyFont="1" applyFill="1" applyBorder="1" applyAlignment="1">
      <alignment horizontal="left" vertical="center" wrapText="1"/>
    </xf>
    <xf numFmtId="2" fontId="22" fillId="2" borderId="1" xfId="0" applyNumberFormat="1" applyFont="1" applyFill="1" applyBorder="1" applyAlignment="1">
      <alignment horizontal="right" vertical="center"/>
    </xf>
    <xf numFmtId="2" fontId="22" fillId="2" borderId="13" xfId="0" applyNumberFormat="1" applyFont="1" applyFill="1" applyBorder="1" applyAlignment="1">
      <alignment horizontal="right" vertical="center"/>
    </xf>
    <xf numFmtId="2" fontId="22" fillId="2" borderId="23" xfId="0" applyNumberFormat="1" applyFont="1" applyFill="1" applyBorder="1" applyAlignment="1">
      <alignment horizontal="center" vertical="center" wrapText="1"/>
    </xf>
    <xf numFmtId="2" fontId="22" fillId="2" borderId="12" xfId="0" applyNumberFormat="1" applyFont="1" applyFill="1" applyBorder="1" applyAlignment="1">
      <alignment horizontal="center" vertical="center"/>
    </xf>
    <xf numFmtId="0" fontId="22" fillId="2" borderId="13" xfId="0" applyNumberFormat="1" applyFont="1" applyFill="1" applyBorder="1" applyAlignment="1">
      <alignment horizontal="left" vertical="center" wrapText="1"/>
    </xf>
    <xf numFmtId="2" fontId="22" fillId="2" borderId="7" xfId="0" applyNumberFormat="1" applyFont="1" applyFill="1" applyBorder="1" applyAlignment="1">
      <alignment horizontal="center" vertical="center"/>
    </xf>
    <xf numFmtId="0" fontId="22" fillId="2" borderId="7" xfId="0" applyNumberFormat="1" applyFont="1" applyFill="1" applyBorder="1" applyAlignment="1">
      <alignment vertical="center" wrapText="1"/>
    </xf>
    <xf numFmtId="2" fontId="22" fillId="2" borderId="1" xfId="0" applyNumberFormat="1" applyFont="1" applyFill="1" applyBorder="1" applyAlignment="1">
      <alignment horizontal="center" vertical="center" wrapText="1"/>
    </xf>
    <xf numFmtId="0" fontId="22" fillId="2" borderId="7" xfId="0" applyNumberFormat="1" applyFont="1" applyFill="1" applyBorder="1" applyAlignment="1">
      <alignment horizontal="right" vertical="center" wrapText="1"/>
    </xf>
    <xf numFmtId="49" fontId="22" fillId="8" borderId="7" xfId="0" applyNumberFormat="1" applyFont="1" applyFill="1" applyBorder="1" applyAlignment="1">
      <alignment horizontal="right" vertical="center"/>
    </xf>
    <xf numFmtId="2" fontId="22" fillId="8" borderId="8" xfId="0" applyNumberFormat="1" applyFont="1" applyFill="1" applyBorder="1" applyAlignment="1">
      <alignment horizontal="left" vertical="center"/>
    </xf>
    <xf numFmtId="49" fontId="22" fillId="8" borderId="8" xfId="0" applyNumberFormat="1" applyFont="1" applyFill="1" applyBorder="1" applyAlignment="1">
      <alignment horizontal="center" vertical="center"/>
    </xf>
    <xf numFmtId="0" fontId="22" fillId="8" borderId="9" xfId="0" applyNumberFormat="1" applyFont="1" applyFill="1" applyBorder="1" applyAlignment="1">
      <alignment horizontal="left" vertical="center"/>
    </xf>
    <xf numFmtId="0" fontId="22" fillId="8" borderId="13" xfId="0" applyNumberFormat="1" applyFont="1" applyFill="1" applyBorder="1" applyAlignment="1">
      <alignment horizontal="center" vertical="center"/>
    </xf>
    <xf numFmtId="0" fontId="22" fillId="8" borderId="12" xfId="0" applyNumberFormat="1" applyFont="1" applyFill="1" applyBorder="1" applyAlignment="1">
      <alignment horizontal="left" vertical="center" wrapText="1"/>
    </xf>
    <xf numFmtId="0" fontId="22" fillId="2" borderId="7" xfId="0" applyFont="1" applyFill="1" applyBorder="1" applyAlignment="1">
      <alignment vertical="center"/>
    </xf>
    <xf numFmtId="0" fontId="22" fillId="2" borderId="8" xfId="0" applyFont="1" applyFill="1" applyBorder="1" applyAlignment="1">
      <alignment horizontal="left" vertical="center"/>
    </xf>
    <xf numFmtId="49" fontId="22" fillId="0" borderId="9" xfId="0" applyNumberFormat="1" applyFont="1" applyBorder="1" applyAlignment="1">
      <alignment horizontal="left" vertical="center"/>
    </xf>
    <xf numFmtId="49" fontId="22" fillId="0" borderId="7" xfId="0" applyNumberFormat="1" applyFont="1" applyBorder="1" applyAlignment="1">
      <alignment horizontal="right" vertical="center"/>
    </xf>
    <xf numFmtId="2" fontId="22" fillId="0" borderId="8" xfId="0" applyNumberFormat="1" applyFont="1" applyBorder="1" applyAlignment="1">
      <alignment horizontal="left" vertical="center"/>
    </xf>
    <xf numFmtId="49" fontId="22" fillId="2" borderId="7" xfId="0" applyNumberFormat="1" applyFont="1" applyFill="1" applyBorder="1" applyAlignment="1">
      <alignment horizontal="center" vertical="center"/>
    </xf>
    <xf numFmtId="49" fontId="22" fillId="0" borderId="8" xfId="0" applyNumberFormat="1" applyFont="1" applyBorder="1" applyAlignment="1">
      <alignment horizontal="left" vertical="center"/>
    </xf>
    <xf numFmtId="0" fontId="22" fillId="0" borderId="9" xfId="0" applyNumberFormat="1" applyFont="1" applyBorder="1" applyAlignment="1">
      <alignment horizontal="left" vertical="center"/>
    </xf>
    <xf numFmtId="1" fontId="20" fillId="8" borderId="2" xfId="0" applyNumberFormat="1" applyFont="1" applyFill="1" applyBorder="1" applyAlignment="1">
      <alignment horizontal="center" vertical="center"/>
    </xf>
    <xf numFmtId="0" fontId="20" fillId="8" borderId="2" xfId="0" applyFont="1" applyFill="1" applyBorder="1" applyAlignment="1">
      <alignment horizontal="center" vertical="center"/>
    </xf>
    <xf numFmtId="2" fontId="22" fillId="8" borderId="7" xfId="0" applyNumberFormat="1" applyFont="1" applyFill="1" applyBorder="1" applyAlignment="1">
      <alignment horizontal="left" vertical="center"/>
    </xf>
    <xf numFmtId="49" fontId="22" fillId="8" borderId="1" xfId="0" applyNumberFormat="1" applyFont="1" applyFill="1" applyBorder="1" applyAlignment="1">
      <alignment vertical="center" wrapText="1"/>
    </xf>
    <xf numFmtId="0" fontId="40" fillId="8" borderId="7" xfId="0" applyFont="1" applyFill="1" applyBorder="1" applyAlignment="1">
      <alignment horizontal="left" vertical="center" wrapText="1"/>
    </xf>
    <xf numFmtId="2" fontId="16" fillId="2" borderId="0" xfId="0" applyNumberFormat="1" applyFont="1" applyFill="1" applyBorder="1" applyAlignment="1">
      <alignment vertical="center"/>
    </xf>
    <xf numFmtId="2" fontId="16" fillId="2" borderId="0" xfId="0" applyNumberFormat="1" applyFont="1" applyFill="1" applyBorder="1" applyAlignment="1">
      <alignment horizontal="right" vertical="center"/>
    </xf>
    <xf numFmtId="2" fontId="16" fillId="0" borderId="0" xfId="0" applyNumberFormat="1" applyFont="1" applyBorder="1" applyAlignment="1">
      <alignment horizontal="right" vertical="center"/>
    </xf>
    <xf numFmtId="0" fontId="40" fillId="2" borderId="23" xfId="0" applyNumberFormat="1" applyFont="1" applyFill="1" applyBorder="1" applyAlignment="1">
      <alignment horizontal="left" vertical="center" wrapText="1"/>
    </xf>
    <xf numFmtId="0" fontId="6" fillId="12" borderId="1" xfId="0" applyFont="1" applyFill="1" applyBorder="1" applyAlignment="1">
      <alignment horizontal="center" vertical="center"/>
    </xf>
    <xf numFmtId="0" fontId="13" fillId="0" borderId="0" xfId="0" applyNumberFormat="1" applyFont="1" applyBorder="1" applyAlignment="1">
      <alignment horizontal="center" wrapText="1"/>
    </xf>
    <xf numFmtId="0" fontId="11" fillId="0" borderId="1" xfId="0" applyFont="1" applyBorder="1" applyAlignment="1">
      <alignment horizontal="center" vertical="center" wrapText="1"/>
    </xf>
    <xf numFmtId="0" fontId="6" fillId="12" borderId="1" xfId="0" applyFont="1" applyFill="1" applyBorder="1" applyAlignment="1">
      <alignment horizontal="left" vertical="center"/>
    </xf>
    <xf numFmtId="0" fontId="30" fillId="2" borderId="0" xfId="0" applyNumberFormat="1" applyFont="1" applyFill="1" applyBorder="1" applyAlignment="1">
      <alignment horizontal="center" vertical="center" wrapText="1"/>
    </xf>
    <xf numFmtId="0" fontId="13" fillId="2" borderId="0" xfId="0" applyFont="1" applyFill="1" applyBorder="1" applyAlignment="1">
      <alignment horizontal="left" wrapText="1"/>
    </xf>
    <xf numFmtId="0" fontId="2" fillId="0" borderId="0" xfId="0" applyFont="1" applyAlignment="1">
      <alignment horizontal="center"/>
    </xf>
    <xf numFmtId="0" fontId="0" fillId="0" borderId="0" xfId="0"/>
    <xf numFmtId="0" fontId="51" fillId="12" borderId="9" xfId="0" applyFont="1" applyFill="1" applyBorder="1" applyAlignment="1">
      <alignment horizontal="center" vertical="center"/>
    </xf>
    <xf numFmtId="0" fontId="22" fillId="2" borderId="0" xfId="0" applyFont="1" applyFill="1" applyBorder="1" applyAlignment="1">
      <alignment horizontal="right" vertical="center"/>
    </xf>
    <xf numFmtId="0" fontId="6" fillId="12" borderId="0" xfId="0" applyFont="1" applyFill="1" applyBorder="1"/>
    <xf numFmtId="0" fontId="39" fillId="8" borderId="0" xfId="0" applyFont="1" applyFill="1" applyBorder="1" applyAlignment="1">
      <alignment horizontal="center" vertical="center" wrapText="1"/>
    </xf>
    <xf numFmtId="0" fontId="40" fillId="8" borderId="0" xfId="0" applyFont="1" applyFill="1" applyBorder="1" applyAlignment="1">
      <alignment horizontal="right" vertical="center"/>
    </xf>
    <xf numFmtId="0" fontId="40" fillId="8" borderId="0" xfId="0" applyFont="1" applyFill="1" applyBorder="1" applyAlignment="1">
      <alignment horizontal="left" vertical="center"/>
    </xf>
    <xf numFmtId="0" fontId="40" fillId="8" borderId="0" xfId="0" applyFont="1" applyFill="1" applyBorder="1" applyAlignment="1">
      <alignment vertical="center"/>
    </xf>
    <xf numFmtId="0" fontId="32" fillId="8" borderId="0" xfId="0" applyFont="1" applyFill="1" applyBorder="1" applyAlignment="1">
      <alignment vertical="center"/>
    </xf>
    <xf numFmtId="0" fontId="32" fillId="8" borderId="0" xfId="0" applyFont="1" applyFill="1" applyBorder="1" applyAlignment="1">
      <alignment horizontal="left" vertical="center"/>
    </xf>
    <xf numFmtId="0" fontId="58" fillId="8" borderId="0" xfId="0" applyFont="1" applyFill="1" applyBorder="1" applyAlignment="1">
      <alignment horizontal="center" vertical="center"/>
    </xf>
    <xf numFmtId="0" fontId="58" fillId="8" borderId="0" xfId="0" applyFont="1" applyFill="1" applyBorder="1"/>
    <xf numFmtId="0" fontId="58" fillId="8" borderId="0" xfId="0" applyFont="1" applyFill="1" applyBorder="1" applyAlignment="1">
      <alignment horizontal="left"/>
    </xf>
    <xf numFmtId="0" fontId="2" fillId="13" borderId="0" xfId="0" applyFont="1" applyFill="1" applyBorder="1"/>
    <xf numFmtId="0" fontId="2" fillId="13" borderId="0" xfId="0" applyFont="1" applyFill="1"/>
    <xf numFmtId="0" fontId="25" fillId="13" borderId="0" xfId="0" applyFont="1" applyFill="1" applyBorder="1" applyAlignment="1">
      <alignment horizontal="right"/>
    </xf>
    <xf numFmtId="0" fontId="25" fillId="13" borderId="0" xfId="0" applyFont="1" applyFill="1" applyAlignment="1">
      <alignment horizontal="right"/>
    </xf>
    <xf numFmtId="2" fontId="14" fillId="13" borderId="0" xfId="0" applyNumberFormat="1" applyFont="1" applyFill="1" applyAlignment="1"/>
    <xf numFmtId="0" fontId="0" fillId="13" borderId="0" xfId="0" applyFill="1"/>
    <xf numFmtId="0" fontId="14" fillId="13" borderId="0" xfId="0" applyFont="1" applyFill="1" applyAlignment="1">
      <alignment vertical="center"/>
    </xf>
    <xf numFmtId="0" fontId="0" fillId="13" borderId="0" xfId="0" applyFill="1" applyBorder="1"/>
    <xf numFmtId="0" fontId="14" fillId="13" borderId="0" xfId="0" applyFont="1" applyFill="1" applyBorder="1" applyAlignment="1">
      <alignment horizontal="right"/>
    </xf>
    <xf numFmtId="0" fontId="40" fillId="13" borderId="0" xfId="0" applyFont="1" applyFill="1" applyBorder="1" applyAlignment="1">
      <alignment horizontal="right" vertical="center"/>
    </xf>
    <xf numFmtId="0" fontId="40" fillId="13" borderId="0" xfId="0" applyFont="1" applyFill="1" applyBorder="1" applyAlignment="1">
      <alignment vertical="center"/>
    </xf>
    <xf numFmtId="0" fontId="32" fillId="13" borderId="0" xfId="0" applyFont="1" applyFill="1" applyBorder="1" applyAlignment="1">
      <alignment vertical="center"/>
    </xf>
    <xf numFmtId="0" fontId="58" fillId="13" borderId="0" xfId="0" applyFont="1" applyFill="1" applyBorder="1"/>
    <xf numFmtId="2" fontId="13" fillId="13" borderId="0" xfId="0" applyNumberFormat="1" applyFont="1" applyFill="1" applyAlignment="1"/>
    <xf numFmtId="2" fontId="13" fillId="13" borderId="0" xfId="0" applyNumberFormat="1" applyFont="1" applyFill="1" applyBorder="1" applyAlignment="1"/>
    <xf numFmtId="0" fontId="16" fillId="13" borderId="1" xfId="0" applyNumberFormat="1" applyFont="1" applyFill="1" applyBorder="1" applyAlignment="1">
      <alignment horizontal="center" vertical="center" wrapText="1"/>
    </xf>
    <xf numFmtId="0" fontId="16" fillId="13" borderId="0" xfId="0" applyFont="1" applyFill="1" applyAlignment="1">
      <alignment vertical="center"/>
    </xf>
    <xf numFmtId="0" fontId="59" fillId="8" borderId="0" xfId="0" applyFont="1" applyFill="1"/>
    <xf numFmtId="0" fontId="2" fillId="8" borderId="0" xfId="0" applyFont="1" applyFill="1" applyBorder="1"/>
    <xf numFmtId="0" fontId="2" fillId="8" borderId="0" xfId="0" applyFont="1" applyFill="1"/>
    <xf numFmtId="0" fontId="2" fillId="8" borderId="0" xfId="0" applyFont="1" applyFill="1" applyAlignment="1">
      <alignment horizontal="left"/>
    </xf>
    <xf numFmtId="0" fontId="32" fillId="8" borderId="0" xfId="0" applyFont="1" applyFill="1" applyAlignment="1">
      <alignment horizontal="right"/>
    </xf>
    <xf numFmtId="0" fontId="25" fillId="8" borderId="0" xfId="0" applyFont="1" applyFill="1" applyBorder="1" applyAlignment="1">
      <alignment horizontal="right"/>
    </xf>
    <xf numFmtId="0" fontId="25" fillId="8" borderId="0" xfId="0" applyFont="1" applyFill="1" applyAlignment="1">
      <alignment horizontal="right"/>
    </xf>
    <xf numFmtId="49" fontId="21" fillId="8" borderId="0" xfId="0" applyNumberFormat="1" applyFont="1" applyFill="1" applyBorder="1" applyAlignment="1">
      <alignment horizontal="left" wrapText="1"/>
    </xf>
    <xf numFmtId="2" fontId="43" fillId="8" borderId="0" xfId="0" applyNumberFormat="1" applyFont="1" applyFill="1" applyAlignment="1"/>
    <xf numFmtId="2" fontId="14" fillId="8" borderId="0" xfId="0" applyNumberFormat="1" applyFont="1" applyFill="1" applyAlignment="1"/>
    <xf numFmtId="0" fontId="42" fillId="8" borderId="0" xfId="0" applyFont="1" applyFill="1" applyAlignment="1">
      <alignment wrapText="1"/>
    </xf>
    <xf numFmtId="0" fontId="5" fillId="8" borderId="0" xfId="0" applyFont="1" applyFill="1" applyAlignment="1">
      <alignment wrapText="1"/>
    </xf>
    <xf numFmtId="0" fontId="0" fillId="8" borderId="0" xfId="0" applyFill="1"/>
    <xf numFmtId="0" fontId="43" fillId="8" borderId="0" xfId="0" applyFont="1" applyFill="1" applyAlignment="1">
      <alignment horizontal="center" vertical="center"/>
    </xf>
    <xf numFmtId="0" fontId="14" fillId="8" borderId="0" xfId="0" applyFont="1" applyFill="1" applyAlignment="1">
      <alignment horizontal="center" vertical="center"/>
    </xf>
    <xf numFmtId="49" fontId="14" fillId="8" borderId="0" xfId="0" applyNumberFormat="1" applyFont="1" applyFill="1" applyAlignment="1">
      <alignment vertical="center"/>
    </xf>
    <xf numFmtId="0" fontId="0" fillId="8" borderId="0" xfId="0" applyFill="1" applyBorder="1"/>
    <xf numFmtId="0" fontId="43" fillId="8" borderId="0" xfId="0" applyFont="1" applyFill="1" applyBorder="1" applyAlignment="1">
      <alignment horizontal="right"/>
    </xf>
    <xf numFmtId="0" fontId="14" fillId="8" borderId="0" xfId="0" applyFont="1" applyFill="1" applyBorder="1" applyAlignment="1">
      <alignment horizontal="right"/>
    </xf>
    <xf numFmtId="0" fontId="14" fillId="8" borderId="0" xfId="0" applyFont="1" applyFill="1" applyBorder="1" applyAlignment="1">
      <alignment horizontal="left"/>
    </xf>
    <xf numFmtId="0" fontId="42" fillId="8" borderId="0" xfId="0" applyFont="1" applyFill="1" applyBorder="1" applyAlignment="1"/>
    <xf numFmtId="0" fontId="5" fillId="8" borderId="0" xfId="0" applyFont="1" applyFill="1" applyBorder="1" applyAlignment="1"/>
    <xf numFmtId="2" fontId="14" fillId="8" borderId="0" xfId="0" applyNumberFormat="1" applyFont="1" applyFill="1" applyAlignment="1">
      <alignment horizontal="left"/>
    </xf>
    <xf numFmtId="2" fontId="25" fillId="8" borderId="0" xfId="0" applyNumberFormat="1" applyFont="1" applyFill="1" applyAlignment="1">
      <alignment horizontal="left"/>
    </xf>
    <xf numFmtId="2" fontId="14" fillId="8" borderId="0" xfId="0" applyNumberFormat="1" applyFont="1" applyFill="1" applyAlignment="1">
      <alignment horizontal="center"/>
    </xf>
    <xf numFmtId="0" fontId="42" fillId="8" borderId="0" xfId="0" applyFont="1" applyFill="1" applyAlignment="1">
      <alignment vertical="top"/>
    </xf>
    <xf numFmtId="0" fontId="5" fillId="8" borderId="0" xfId="0" applyFont="1" applyFill="1" applyAlignment="1">
      <alignment vertical="top"/>
    </xf>
    <xf numFmtId="2" fontId="13" fillId="8" borderId="0" xfId="0" applyNumberFormat="1" applyFont="1" applyFill="1" applyAlignment="1"/>
    <xf numFmtId="2" fontId="13" fillId="8" borderId="0" xfId="0" applyNumberFormat="1" applyFont="1" applyFill="1" applyAlignment="1">
      <alignment horizontal="left"/>
    </xf>
    <xf numFmtId="2" fontId="21" fillId="8" borderId="0" xfId="0" applyNumberFormat="1" applyFont="1" applyFill="1" applyAlignment="1">
      <alignment horizontal="left"/>
    </xf>
    <xf numFmtId="2" fontId="13" fillId="8" borderId="0" xfId="0" applyNumberFormat="1" applyFont="1" applyFill="1" applyBorder="1" applyAlignment="1">
      <alignment horizontal="center"/>
    </xf>
    <xf numFmtId="2" fontId="13" fillId="8" borderId="0" xfId="0" applyNumberFormat="1" applyFont="1" applyFill="1" applyBorder="1" applyAlignment="1"/>
    <xf numFmtId="1" fontId="16" fillId="8" borderId="0" xfId="0" applyNumberFormat="1" applyFont="1" applyFill="1" applyBorder="1" applyAlignment="1">
      <alignment horizontal="center" vertical="center"/>
    </xf>
    <xf numFmtId="0" fontId="16" fillId="8" borderId="9" xfId="0" applyFont="1" applyFill="1" applyBorder="1" applyAlignment="1">
      <alignment horizontal="left" vertical="center"/>
    </xf>
    <xf numFmtId="0" fontId="16" fillId="8" borderId="7" xfId="0" applyNumberFormat="1" applyFont="1" applyFill="1" applyBorder="1" applyAlignment="1">
      <alignment horizontal="center" vertical="center" wrapText="1"/>
    </xf>
    <xf numFmtId="49" fontId="16" fillId="8" borderId="0" xfId="0" applyNumberFormat="1" applyFont="1" applyFill="1" applyBorder="1" applyAlignment="1">
      <alignment horizontal="center" vertical="center"/>
    </xf>
    <xf numFmtId="0" fontId="16" fillId="8" borderId="0" xfId="0" applyNumberFormat="1" applyFont="1" applyFill="1" applyBorder="1" applyAlignment="1">
      <alignment horizontal="center" vertical="center" wrapText="1"/>
    </xf>
    <xf numFmtId="0" fontId="16" fillId="8" borderId="0" xfId="0" applyFont="1" applyFill="1" applyAlignment="1">
      <alignment vertical="center" wrapText="1"/>
    </xf>
    <xf numFmtId="0" fontId="16" fillId="8" borderId="13" xfId="0" applyNumberFormat="1" applyFont="1" applyFill="1" applyBorder="1" applyAlignment="1">
      <alignment horizontal="left" vertical="center"/>
    </xf>
    <xf numFmtId="0" fontId="16" fillId="8" borderId="12" xfId="0" applyNumberFormat="1" applyFont="1" applyFill="1" applyBorder="1" applyAlignment="1">
      <alignment horizontal="center" vertical="center"/>
    </xf>
    <xf numFmtId="0" fontId="16" fillId="8" borderId="13" xfId="0" applyNumberFormat="1" applyFont="1" applyFill="1" applyBorder="1" applyAlignment="1">
      <alignment vertical="center"/>
    </xf>
    <xf numFmtId="0" fontId="16" fillId="8" borderId="8" xfId="0" applyNumberFormat="1" applyFont="1" applyFill="1" applyBorder="1" applyAlignment="1">
      <alignment vertical="center"/>
    </xf>
    <xf numFmtId="0" fontId="16" fillId="8" borderId="1" xfId="0" applyNumberFormat="1" applyFont="1" applyFill="1" applyBorder="1" applyAlignment="1">
      <alignment horizontal="left" vertical="center"/>
    </xf>
    <xf numFmtId="0" fontId="57" fillId="8" borderId="0" xfId="0" applyNumberFormat="1" applyFont="1" applyFill="1" applyBorder="1" applyAlignment="1">
      <alignment horizontal="center" vertical="center" wrapText="1"/>
    </xf>
    <xf numFmtId="0" fontId="30" fillId="8" borderId="0" xfId="0" applyNumberFormat="1" applyFont="1" applyFill="1" applyBorder="1" applyAlignment="1">
      <alignment horizontal="center" vertical="center" wrapText="1"/>
    </xf>
    <xf numFmtId="0" fontId="16" fillId="8" borderId="11" xfId="0" applyFont="1" applyFill="1" applyBorder="1" applyAlignment="1">
      <alignment horizontal="left" vertical="center"/>
    </xf>
    <xf numFmtId="0" fontId="25" fillId="8" borderId="15" xfId="0" applyNumberFormat="1" applyFont="1" applyFill="1" applyBorder="1" applyAlignment="1">
      <alignment horizontal="left" vertical="center" wrapText="1"/>
    </xf>
    <xf numFmtId="0" fontId="16" fillId="8" borderId="6" xfId="0" applyNumberFormat="1" applyFont="1" applyFill="1" applyBorder="1" applyAlignment="1">
      <alignment horizontal="center" vertical="center" wrapText="1"/>
    </xf>
    <xf numFmtId="0" fontId="45" fillId="8" borderId="0" xfId="0" applyFont="1" applyFill="1" applyAlignment="1">
      <alignment vertical="center"/>
    </xf>
    <xf numFmtId="0" fontId="7" fillId="8" borderId="0" xfId="0" applyFont="1" applyFill="1" applyAlignment="1">
      <alignment vertical="center"/>
    </xf>
    <xf numFmtId="0" fontId="9" fillId="8" borderId="0" xfId="0" applyNumberFormat="1" applyFont="1" applyFill="1" applyBorder="1" applyAlignment="1"/>
    <xf numFmtId="0" fontId="25" fillId="8" borderId="0" xfId="0" applyNumberFormat="1" applyFont="1" applyFill="1" applyBorder="1" applyAlignment="1">
      <alignment horizontal="left" vertical="center" wrapText="1"/>
    </xf>
    <xf numFmtId="0" fontId="39" fillId="8" borderId="0" xfId="0" applyFont="1" applyFill="1" applyBorder="1" applyAlignment="1">
      <alignment vertical="center" wrapText="1"/>
    </xf>
    <xf numFmtId="2" fontId="14" fillId="2" borderId="0" xfId="0" applyNumberFormat="1" applyFont="1" applyFill="1" applyBorder="1" applyAlignment="1"/>
    <xf numFmtId="2" fontId="56" fillId="2" borderId="0" xfId="0" applyNumberFormat="1" applyFont="1" applyFill="1" applyBorder="1" applyAlignment="1"/>
    <xf numFmtId="0" fontId="21" fillId="3" borderId="0" xfId="0" applyFont="1" applyFill="1" applyBorder="1" applyAlignment="1"/>
    <xf numFmtId="0" fontId="21" fillId="3" borderId="0" xfId="0" applyFont="1" applyFill="1" applyBorder="1" applyAlignment="1">
      <alignment vertical="center"/>
    </xf>
    <xf numFmtId="0" fontId="51" fillId="12" borderId="0" xfId="0" applyFont="1" applyFill="1" applyBorder="1" applyAlignment="1">
      <alignment horizontal="center" vertical="center"/>
    </xf>
    <xf numFmtId="0" fontId="11" fillId="11" borderId="0" xfId="0" applyFont="1" applyFill="1" applyBorder="1" applyAlignment="1">
      <alignment horizontal="center" vertical="center"/>
    </xf>
    <xf numFmtId="0" fontId="14" fillId="0" borderId="0" xfId="0" applyFont="1" applyBorder="1" applyAlignment="1">
      <alignment vertical="center"/>
    </xf>
    <xf numFmtId="2" fontId="14" fillId="0" borderId="0" xfId="0" applyNumberFormat="1" applyFont="1" applyBorder="1" applyAlignment="1"/>
    <xf numFmtId="2" fontId="14" fillId="13" borderId="0" xfId="0" applyNumberFormat="1" applyFont="1" applyFill="1" applyBorder="1" applyAlignment="1"/>
    <xf numFmtId="0" fontId="14" fillId="13" borderId="0" xfId="0" applyFont="1" applyFill="1" applyBorder="1" applyAlignment="1">
      <alignment vertical="center"/>
    </xf>
    <xf numFmtId="0" fontId="22" fillId="13" borderId="0" xfId="0" applyFont="1" applyFill="1" applyBorder="1" applyAlignment="1">
      <alignment horizontal="right" vertical="center"/>
    </xf>
    <xf numFmtId="0" fontId="22" fillId="13" borderId="0" xfId="0" applyFont="1" applyFill="1" applyBorder="1" applyAlignment="1">
      <alignment vertical="center"/>
    </xf>
    <xf numFmtId="0" fontId="25" fillId="13" borderId="0" xfId="0" applyFont="1" applyFill="1" applyBorder="1" applyAlignment="1">
      <alignment vertical="center"/>
    </xf>
    <xf numFmtId="0" fontId="6" fillId="13" borderId="0" xfId="0" applyFont="1" applyFill="1" applyBorder="1"/>
    <xf numFmtId="0" fontId="11" fillId="11" borderId="9" xfId="0" applyFont="1" applyFill="1" applyBorder="1" applyAlignment="1">
      <alignment horizontal="center" vertical="center" wrapText="1"/>
    </xf>
    <xf numFmtId="0" fontId="49" fillId="2" borderId="7" xfId="0" applyNumberFormat="1" applyFont="1" applyFill="1" applyBorder="1" applyAlignment="1">
      <alignment horizontal="center" vertical="center" wrapText="1"/>
    </xf>
    <xf numFmtId="0" fontId="49" fillId="2" borderId="1" xfId="0" applyFont="1" applyFill="1" applyBorder="1" applyAlignment="1">
      <alignment horizontal="left" vertical="center" wrapText="1"/>
    </xf>
    <xf numFmtId="49" fontId="49" fillId="2" borderId="1" xfId="0" applyNumberFormat="1" applyFont="1" applyFill="1" applyBorder="1" applyAlignment="1">
      <alignment horizontal="center" vertical="center" textRotation="90" wrapText="1"/>
    </xf>
    <xf numFmtId="49" fontId="49" fillId="2" borderId="1" xfId="0" applyNumberFormat="1" applyFont="1" applyFill="1" applyBorder="1" applyAlignment="1">
      <alignment horizontal="center" vertical="center" wrapText="1"/>
    </xf>
    <xf numFmtId="0" fontId="49" fillId="2" borderId="1" xfId="0" applyNumberFormat="1" applyFont="1" applyFill="1" applyBorder="1" applyAlignment="1">
      <alignment horizontal="center" vertical="center" wrapText="1"/>
    </xf>
    <xf numFmtId="2" fontId="49" fillId="2" borderId="1" xfId="0" applyNumberFormat="1" applyFont="1" applyFill="1" applyBorder="1" applyAlignment="1">
      <alignment horizontal="right" vertical="center"/>
    </xf>
    <xf numFmtId="2" fontId="49" fillId="2" borderId="13" xfId="0" applyNumberFormat="1" applyFont="1" applyFill="1" applyBorder="1" applyAlignment="1">
      <alignment horizontal="right" vertical="center"/>
    </xf>
    <xf numFmtId="2" fontId="49" fillId="2" borderId="23" xfId="0" applyNumberFormat="1" applyFont="1" applyFill="1" applyBorder="1" applyAlignment="1">
      <alignment horizontal="center" vertical="center" wrapText="1"/>
    </xf>
    <xf numFmtId="49" fontId="49" fillId="0" borderId="1" xfId="0" applyNumberFormat="1" applyFont="1" applyBorder="1" applyAlignment="1">
      <alignment horizontal="right" vertical="center"/>
    </xf>
    <xf numFmtId="2" fontId="49" fillId="0" borderId="1" xfId="0" applyNumberFormat="1" applyFont="1" applyBorder="1" applyAlignment="1">
      <alignment horizontal="left" vertical="center"/>
    </xf>
    <xf numFmtId="2" fontId="49" fillId="2" borderId="1" xfId="0" applyNumberFormat="1" applyFont="1" applyFill="1" applyBorder="1" applyAlignment="1">
      <alignment horizontal="left" vertical="center" wrapText="1"/>
    </xf>
    <xf numFmtId="2" fontId="49" fillId="2" borderId="1" xfId="0" applyNumberFormat="1" applyFont="1" applyFill="1" applyBorder="1" applyAlignment="1">
      <alignment horizontal="left" vertical="center"/>
    </xf>
    <xf numFmtId="1" fontId="50" fillId="2" borderId="7" xfId="0" applyNumberFormat="1" applyFont="1" applyFill="1" applyBorder="1" applyAlignment="1">
      <alignment horizontal="center" vertical="center"/>
    </xf>
    <xf numFmtId="1" fontId="49" fillId="2" borderId="1" xfId="0" applyNumberFormat="1" applyFont="1" applyFill="1" applyBorder="1" applyAlignment="1">
      <alignment horizontal="center" vertical="center" wrapText="1"/>
    </xf>
    <xf numFmtId="1" fontId="49" fillId="2" borderId="1" xfId="0" applyNumberFormat="1" applyFont="1" applyFill="1" applyBorder="1" applyAlignment="1">
      <alignment horizontal="center" vertical="center"/>
    </xf>
    <xf numFmtId="1" fontId="50" fillId="2" borderId="13" xfId="0" applyNumberFormat="1" applyFont="1" applyFill="1" applyBorder="1" applyAlignment="1">
      <alignment horizontal="center" vertical="center"/>
    </xf>
    <xf numFmtId="0" fontId="50" fillId="2" borderId="1" xfId="0" applyFont="1" applyFill="1" applyBorder="1" applyAlignment="1">
      <alignment horizontal="center" vertical="center"/>
    </xf>
    <xf numFmtId="2" fontId="49" fillId="4" borderId="1" xfId="0" applyNumberFormat="1" applyFont="1" applyFill="1" applyBorder="1" applyAlignment="1">
      <alignment horizontal="center" vertical="center"/>
    </xf>
    <xf numFmtId="1" fontId="49" fillId="2" borderId="25" xfId="0" applyNumberFormat="1" applyFont="1" applyFill="1" applyBorder="1" applyAlignment="1">
      <alignment horizontal="center" vertical="center"/>
    </xf>
    <xf numFmtId="2" fontId="50" fillId="2" borderId="9" xfId="0" applyNumberFormat="1" applyFont="1" applyFill="1" applyBorder="1" applyAlignment="1">
      <alignment horizontal="center" vertical="center"/>
    </xf>
    <xf numFmtId="0" fontId="49" fillId="2" borderId="1" xfId="0" applyFont="1" applyFill="1" applyBorder="1" applyAlignment="1">
      <alignment vertical="center"/>
    </xf>
    <xf numFmtId="1" fontId="50" fillId="2" borderId="1" xfId="0" applyNumberFormat="1" applyFont="1" applyFill="1" applyBorder="1" applyAlignment="1">
      <alignment horizontal="center" vertical="center"/>
    </xf>
    <xf numFmtId="1" fontId="50" fillId="2" borderId="14" xfId="0" applyNumberFormat="1" applyFont="1" applyFill="1" applyBorder="1" applyAlignment="1">
      <alignment horizontal="center" vertical="center" wrapText="1"/>
    </xf>
    <xf numFmtId="1" fontId="49" fillId="2" borderId="9" xfId="0" applyNumberFormat="1" applyFont="1" applyFill="1" applyBorder="1" applyAlignment="1">
      <alignment horizontal="center" vertical="center"/>
    </xf>
    <xf numFmtId="0" fontId="49" fillId="2" borderId="8" xfId="0" applyFont="1" applyFill="1" applyBorder="1" applyAlignment="1">
      <alignment vertical="center"/>
    </xf>
    <xf numFmtId="0" fontId="49" fillId="2" borderId="9" xfId="0" applyFont="1" applyFill="1" applyBorder="1" applyAlignment="1">
      <alignment vertical="center"/>
    </xf>
    <xf numFmtId="0" fontId="49" fillId="2" borderId="1" xfId="0" applyNumberFormat="1" applyFont="1" applyFill="1" applyBorder="1" applyAlignment="1">
      <alignment horizontal="left" vertical="center" wrapText="1"/>
    </xf>
    <xf numFmtId="49" fontId="49" fillId="2" borderId="9" xfId="0" applyNumberFormat="1" applyFont="1" applyFill="1" applyBorder="1" applyAlignment="1">
      <alignment vertical="center"/>
    </xf>
    <xf numFmtId="0" fontId="49" fillId="2" borderId="8" xfId="0" applyNumberFormat="1" applyFont="1" applyFill="1" applyBorder="1" applyAlignment="1">
      <alignment vertical="center"/>
    </xf>
    <xf numFmtId="0" fontId="49" fillId="2" borderId="12" xfId="0" applyNumberFormat="1" applyFont="1" applyFill="1" applyBorder="1" applyAlignment="1">
      <alignment horizontal="center" vertical="center"/>
    </xf>
    <xf numFmtId="0" fontId="49" fillId="2" borderId="1" xfId="0" applyNumberFormat="1" applyFont="1" applyFill="1" applyBorder="1" applyAlignment="1">
      <alignment horizontal="left" vertical="center"/>
    </xf>
    <xf numFmtId="0" fontId="49" fillId="2" borderId="0" xfId="0" applyFont="1" applyFill="1" applyAlignment="1">
      <alignment vertical="center"/>
    </xf>
    <xf numFmtId="49" fontId="49" fillId="2" borderId="9" xfId="0" applyNumberFormat="1" applyFont="1" applyFill="1" applyBorder="1" applyAlignment="1">
      <alignment horizontal="left" vertical="center"/>
    </xf>
    <xf numFmtId="0" fontId="49" fillId="2" borderId="0" xfId="0" applyNumberFormat="1" applyFont="1" applyFill="1" applyAlignment="1">
      <alignment horizontal="center" vertical="center"/>
    </xf>
    <xf numFmtId="0" fontId="50" fillId="2" borderId="1" xfId="0" applyNumberFormat="1" applyFont="1" applyFill="1" applyBorder="1" applyAlignment="1">
      <alignment horizontal="center" vertical="center" wrapText="1"/>
    </xf>
    <xf numFmtId="1" fontId="50" fillId="2" borderId="7" xfId="0" applyNumberFormat="1" applyFont="1" applyFill="1" applyBorder="1" applyAlignment="1">
      <alignment horizontal="right" vertical="center"/>
    </xf>
    <xf numFmtId="2" fontId="50" fillId="2" borderId="1" xfId="0" applyNumberFormat="1" applyFont="1" applyFill="1" applyBorder="1" applyAlignment="1">
      <alignment horizontal="center" vertical="center"/>
    </xf>
    <xf numFmtId="0" fontId="22" fillId="8" borderId="13" xfId="0" applyFont="1" applyFill="1" applyBorder="1" applyAlignment="1">
      <alignment vertical="center"/>
    </xf>
    <xf numFmtId="0" fontId="49" fillId="8" borderId="23" xfId="0" applyFont="1" applyFill="1" applyBorder="1" applyAlignment="1">
      <alignment horizontal="center" vertical="center" wrapText="1"/>
    </xf>
    <xf numFmtId="0" fontId="22" fillId="0" borderId="12" xfId="0" applyFont="1" applyBorder="1" applyAlignment="1">
      <alignment horizontal="center" vertical="center"/>
    </xf>
    <xf numFmtId="49" fontId="22" fillId="0" borderId="28" xfId="0" applyNumberFormat="1" applyFont="1" applyFill="1" applyBorder="1" applyAlignment="1">
      <alignment horizontal="right" vertical="center" wrapText="1"/>
    </xf>
    <xf numFmtId="49" fontId="55" fillId="2" borderId="9" xfId="0" applyNumberFormat="1" applyFont="1" applyFill="1" applyBorder="1" applyAlignment="1">
      <alignment vertical="center"/>
    </xf>
    <xf numFmtId="0" fontId="22" fillId="14" borderId="1" xfId="0" applyNumberFormat="1" applyFont="1" applyFill="1" applyBorder="1" applyAlignment="1">
      <alignment horizontal="left" vertical="center" wrapText="1"/>
    </xf>
    <xf numFmtId="1" fontId="22" fillId="2" borderId="7" xfId="0" applyNumberFormat="1" applyFont="1" applyFill="1" applyBorder="1" applyAlignment="1">
      <alignment horizontal="center" vertical="center"/>
    </xf>
    <xf numFmtId="0" fontId="22" fillId="3" borderId="1" xfId="0" applyFont="1" applyFill="1" applyBorder="1" applyAlignment="1">
      <alignment vertical="center"/>
    </xf>
    <xf numFmtId="0" fontId="22" fillId="2" borderId="13" xfId="0" applyNumberFormat="1" applyFont="1" applyFill="1" applyBorder="1" applyAlignment="1">
      <alignment horizontal="center" vertical="center"/>
    </xf>
    <xf numFmtId="0" fontId="22" fillId="2" borderId="14" xfId="0" applyNumberFormat="1" applyFont="1" applyFill="1" applyBorder="1" applyAlignment="1">
      <alignment horizontal="center" vertical="center" wrapText="1"/>
    </xf>
    <xf numFmtId="0" fontId="22" fillId="2" borderId="12" xfId="0" applyNumberFormat="1" applyFont="1" applyFill="1" applyBorder="1" applyAlignment="1">
      <alignment horizontal="center" vertical="center"/>
    </xf>
    <xf numFmtId="1" fontId="11" fillId="2" borderId="7" xfId="0" applyNumberFormat="1" applyFont="1" applyFill="1" applyBorder="1" applyAlignment="1">
      <alignment horizontal="right" vertical="center"/>
    </xf>
    <xf numFmtId="2" fontId="31" fillId="2" borderId="1" xfId="0" applyNumberFormat="1" applyFont="1" applyFill="1" applyBorder="1" applyAlignment="1">
      <alignment horizontal="center" vertical="center"/>
    </xf>
    <xf numFmtId="0" fontId="22" fillId="2" borderId="13" xfId="0" applyFont="1" applyFill="1" applyBorder="1" applyAlignment="1">
      <alignment vertical="center"/>
    </xf>
    <xf numFmtId="0" fontId="22" fillId="2" borderId="12" xfId="0" applyFont="1" applyFill="1" applyBorder="1" applyAlignment="1">
      <alignment vertical="center"/>
    </xf>
    <xf numFmtId="1" fontId="11" fillId="2" borderId="8" xfId="0" applyNumberFormat="1" applyFont="1" applyFill="1" applyBorder="1" applyAlignment="1">
      <alignment horizontal="center" vertical="center"/>
    </xf>
    <xf numFmtId="1" fontId="11" fillId="2" borderId="23" xfId="0" applyNumberFormat="1" applyFont="1" applyFill="1" applyBorder="1" applyAlignment="1">
      <alignment horizontal="center" vertical="center" wrapText="1"/>
    </xf>
    <xf numFmtId="0" fontId="22" fillId="2" borderId="12" xfId="0" applyNumberFormat="1" applyFont="1" applyFill="1" applyBorder="1" applyAlignment="1">
      <alignment horizontal="center" vertical="center" wrapText="1"/>
    </xf>
    <xf numFmtId="0" fontId="22" fillId="2" borderId="8" xfId="0" applyNumberFormat="1" applyFont="1" applyFill="1" applyBorder="1" applyAlignment="1">
      <alignment horizontal="center" vertical="center" wrapText="1"/>
    </xf>
    <xf numFmtId="0" fontId="22" fillId="2" borderId="9" xfId="0" applyNumberFormat="1" applyFont="1" applyFill="1" applyBorder="1" applyAlignment="1">
      <alignment horizontal="center" vertical="center"/>
    </xf>
    <xf numFmtId="0" fontId="22" fillId="2" borderId="19" xfId="0" applyNumberFormat="1" applyFont="1" applyFill="1" applyBorder="1" applyAlignment="1">
      <alignment horizontal="right" vertical="center" wrapText="1"/>
    </xf>
    <xf numFmtId="0" fontId="22" fillId="2" borderId="28" xfId="0" applyNumberFormat="1" applyFont="1" applyFill="1" applyBorder="1" applyAlignment="1">
      <alignment horizontal="center" vertical="center" wrapText="1"/>
    </xf>
    <xf numFmtId="0" fontId="22" fillId="2" borderId="8" xfId="0" applyFont="1" applyFill="1" applyBorder="1" applyAlignment="1">
      <alignment vertical="center"/>
    </xf>
    <xf numFmtId="0" fontId="62" fillId="9" borderId="8" xfId="0" applyFont="1" applyFill="1" applyBorder="1" applyAlignment="1">
      <alignment vertical="center"/>
    </xf>
    <xf numFmtId="0" fontId="25" fillId="0" borderId="9" xfId="0" applyFont="1" applyBorder="1" applyAlignment="1">
      <alignment vertical="center"/>
    </xf>
    <xf numFmtId="2" fontId="49" fillId="2" borderId="9" xfId="0" applyNumberFormat="1" applyFont="1" applyFill="1" applyBorder="1" applyAlignment="1">
      <alignment horizontal="left" vertical="center"/>
    </xf>
    <xf numFmtId="1" fontId="11" fillId="8" borderId="9" xfId="0" applyNumberFormat="1" applyFont="1" applyFill="1" applyBorder="1" applyAlignment="1">
      <alignment horizontal="center" vertical="center" wrapText="1"/>
    </xf>
    <xf numFmtId="0" fontId="11" fillId="0" borderId="0" xfId="0" applyFont="1" applyBorder="1" applyAlignment="1">
      <alignment horizontal="center" vertical="center" wrapText="1"/>
    </xf>
    <xf numFmtId="0" fontId="51" fillId="12" borderId="1" xfId="0" applyFont="1" applyFill="1" applyBorder="1" applyAlignment="1">
      <alignment horizontal="center" vertical="center"/>
    </xf>
    <xf numFmtId="0" fontId="11" fillId="0" borderId="8" xfId="0" applyFont="1" applyBorder="1" applyAlignment="1">
      <alignment horizontal="center" vertical="center" wrapText="1"/>
    </xf>
    <xf numFmtId="0" fontId="6" fillId="12" borderId="9" xfId="0" applyFont="1" applyFill="1" applyBorder="1" applyAlignment="1">
      <alignment horizontal="center" vertical="center"/>
    </xf>
    <xf numFmtId="0" fontId="51" fillId="12" borderId="8" xfId="0" applyFont="1" applyFill="1" applyBorder="1" applyAlignment="1">
      <alignment horizontal="center" vertical="center"/>
    </xf>
    <xf numFmtId="0" fontId="51" fillId="12" borderId="9" xfId="0" applyFont="1" applyFill="1" applyBorder="1" applyAlignment="1">
      <alignment horizontal="center" vertical="center"/>
    </xf>
    <xf numFmtId="0" fontId="51" fillId="12" borderId="13" xfId="0" applyFont="1" applyFill="1" applyBorder="1" applyAlignment="1">
      <alignment horizontal="center" vertical="center"/>
    </xf>
    <xf numFmtId="0" fontId="51" fillId="12" borderId="23" xfId="0" applyFont="1" applyFill="1" applyBorder="1" applyAlignment="1">
      <alignment horizontal="center" vertical="center"/>
    </xf>
    <xf numFmtId="0" fontId="11" fillId="0" borderId="15"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 xfId="0" applyFont="1" applyBorder="1" applyAlignment="1">
      <alignment horizontal="center" vertical="center" wrapText="1"/>
    </xf>
    <xf numFmtId="0" fontId="11" fillId="9" borderId="15" xfId="0" applyFont="1" applyFill="1" applyBorder="1" applyAlignment="1">
      <alignment horizontal="center" vertical="center" wrapText="1"/>
    </xf>
    <xf numFmtId="0" fontId="11" fillId="9" borderId="24"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51" fillId="12" borderId="7" xfId="0" applyFont="1" applyFill="1" applyBorder="1" applyAlignment="1">
      <alignment horizontal="center" vertical="center"/>
    </xf>
    <xf numFmtId="1" fontId="11" fillId="2" borderId="15" xfId="0" applyNumberFormat="1" applyFont="1" applyFill="1" applyBorder="1" applyAlignment="1">
      <alignment horizontal="center" vertical="center" wrapText="1"/>
    </xf>
    <xf numFmtId="1" fontId="11" fillId="2" borderId="24" xfId="0" applyNumberFormat="1" applyFont="1" applyFill="1" applyBorder="1" applyAlignment="1">
      <alignment horizontal="center" vertical="center" wrapText="1"/>
    </xf>
    <xf numFmtId="1" fontId="11" fillId="2" borderId="2" xfId="0" applyNumberFormat="1"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1" xfId="0" applyFont="1" applyBorder="1" applyAlignment="1">
      <alignment horizontal="center" vertical="center" wrapText="1"/>
    </xf>
    <xf numFmtId="0" fontId="11" fillId="8" borderId="15" xfId="0" applyFont="1" applyFill="1" applyBorder="1" applyAlignment="1">
      <alignment horizontal="center" vertical="center" wrapText="1"/>
    </xf>
    <xf numFmtId="0" fontId="11" fillId="8" borderId="24"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3" fillId="0" borderId="0" xfId="0" applyNumberFormat="1" applyFont="1" applyBorder="1" applyAlignment="1">
      <alignment horizontal="center" vertical="center" wrapText="1"/>
    </xf>
    <xf numFmtId="0" fontId="13" fillId="0" borderId="0" xfId="0" applyNumberFormat="1" applyFont="1" applyBorder="1" applyAlignment="1">
      <alignment horizontal="center" vertical="center"/>
    </xf>
    <xf numFmtId="0" fontId="60" fillId="0" borderId="0" xfId="0" applyNumberFormat="1" applyFont="1" applyAlignment="1">
      <alignment horizontal="center" vertical="center"/>
    </xf>
    <xf numFmtId="0" fontId="57" fillId="0" borderId="0" xfId="0" applyNumberFormat="1" applyFont="1" applyAlignment="1">
      <alignment horizontal="center" vertical="center"/>
    </xf>
    <xf numFmtId="0" fontId="13" fillId="0" borderId="0" xfId="0" applyNumberFormat="1" applyFont="1" applyAlignment="1">
      <alignment horizontal="center" vertical="center"/>
    </xf>
    <xf numFmtId="0" fontId="51" fillId="12" borderId="1" xfId="0" applyFont="1" applyFill="1" applyBorder="1" applyAlignment="1">
      <alignment horizontal="center" vertical="center"/>
    </xf>
    <xf numFmtId="49" fontId="11" fillId="2" borderId="15" xfId="0" applyNumberFormat="1" applyFont="1" applyFill="1" applyBorder="1" applyAlignment="1">
      <alignment horizontal="center" vertical="center" wrapText="1"/>
    </xf>
    <xf numFmtId="49" fontId="11" fillId="2" borderId="24" xfId="0"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0" fontId="25" fillId="0" borderId="0" xfId="0" applyFont="1" applyAlignment="1">
      <alignment horizontal="center"/>
    </xf>
    <xf numFmtId="0" fontId="21" fillId="0" borderId="0" xfId="0" applyFont="1" applyAlignment="1">
      <alignment horizontal="center"/>
    </xf>
    <xf numFmtId="0" fontId="13" fillId="0" borderId="0" xfId="0" applyFont="1" applyAlignment="1">
      <alignment horizontal="center"/>
    </xf>
    <xf numFmtId="0" fontId="48" fillId="0" borderId="0" xfId="0" applyFont="1" applyAlignment="1">
      <alignment horizontal="center"/>
    </xf>
    <xf numFmtId="0" fontId="13" fillId="0" borderId="0" xfId="0" applyFont="1" applyAlignment="1">
      <alignment horizontal="center" wrapText="1"/>
    </xf>
    <xf numFmtId="0" fontId="11" fillId="0" borderId="15" xfId="0" applyFont="1" applyBorder="1" applyAlignment="1">
      <alignment horizontal="center" vertical="center" textRotation="90" wrapText="1"/>
    </xf>
    <xf numFmtId="0" fontId="11" fillId="0" borderId="24" xfId="0" applyFont="1" applyBorder="1" applyAlignment="1">
      <alignment horizontal="center" vertical="center" textRotation="90" wrapText="1"/>
    </xf>
    <xf numFmtId="0" fontId="11" fillId="0" borderId="2" xfId="0" applyFont="1" applyBorder="1" applyAlignment="1">
      <alignment horizontal="center" vertical="center" textRotation="90"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0" xfId="0" applyFont="1" applyBorder="1" applyAlignment="1">
      <alignment horizontal="center" vertical="center" wrapText="1"/>
    </xf>
    <xf numFmtId="0" fontId="39" fillId="8" borderId="0" xfId="0" applyFont="1" applyFill="1" applyBorder="1" applyAlignment="1">
      <alignment horizontal="center" vertical="center" wrapText="1"/>
    </xf>
    <xf numFmtId="0" fontId="45" fillId="0" borderId="0" xfId="0" applyFont="1" applyAlignment="1">
      <alignment horizontal="center" vertical="center"/>
    </xf>
    <xf numFmtId="0" fontId="6" fillId="12" borderId="7" xfId="0" applyFont="1" applyFill="1" applyBorder="1" applyAlignment="1">
      <alignment horizontal="center" vertical="center"/>
    </xf>
    <xf numFmtId="0" fontId="6" fillId="12" borderId="9" xfId="0" applyFont="1" applyFill="1" applyBorder="1" applyAlignment="1">
      <alignment horizontal="center" vertical="center"/>
    </xf>
    <xf numFmtId="0" fontId="6" fillId="12" borderId="8" xfId="0" applyFont="1" applyFill="1" applyBorder="1" applyAlignment="1">
      <alignment horizontal="center" vertical="center"/>
    </xf>
    <xf numFmtId="0" fontId="42" fillId="0" borderId="16" xfId="0" applyFont="1" applyBorder="1" applyAlignment="1">
      <alignment horizontal="center"/>
    </xf>
    <xf numFmtId="0" fontId="13" fillId="0" borderId="16" xfId="0" applyNumberFormat="1" applyFont="1" applyBorder="1" applyAlignment="1">
      <alignment horizontal="center" wrapText="1"/>
    </xf>
    <xf numFmtId="2" fontId="13" fillId="0" borderId="0" xfId="0" applyNumberFormat="1" applyFont="1" applyAlignment="1">
      <alignment horizontal="center"/>
    </xf>
    <xf numFmtId="0" fontId="30" fillId="2" borderId="0" xfId="0" applyNumberFormat="1" applyFont="1" applyFill="1" applyBorder="1" applyAlignment="1">
      <alignment horizontal="center" vertical="center" wrapText="1"/>
    </xf>
    <xf numFmtId="0" fontId="13" fillId="0" borderId="0" xfId="0" applyNumberFormat="1" applyFont="1" applyBorder="1" applyAlignment="1">
      <alignment horizontal="center" wrapText="1"/>
    </xf>
    <xf numFmtId="49" fontId="52" fillId="12" borderId="8" xfId="0" applyNumberFormat="1" applyFont="1" applyFill="1" applyBorder="1" applyAlignment="1">
      <alignment horizontal="center" vertical="center"/>
    </xf>
    <xf numFmtId="49" fontId="52" fillId="12" borderId="9" xfId="0" applyNumberFormat="1" applyFont="1" applyFill="1" applyBorder="1" applyAlignment="1">
      <alignment horizontal="center" vertical="center"/>
    </xf>
    <xf numFmtId="0" fontId="61" fillId="0" borderId="0" xfId="0" applyFont="1" applyAlignment="1">
      <alignment horizontal="center"/>
    </xf>
    <xf numFmtId="0" fontId="22" fillId="0" borderId="6"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4" xfId="0" applyFont="1" applyBorder="1" applyAlignment="1">
      <alignment horizontal="center" vertical="center" wrapText="1"/>
    </xf>
    <xf numFmtId="0" fontId="2" fillId="0" borderId="0" xfId="0" applyFont="1" applyAlignment="1">
      <alignment horizontal="center"/>
    </xf>
    <xf numFmtId="0" fontId="1" fillId="0" borderId="0" xfId="0" applyFont="1" applyAlignment="1">
      <alignment horizontal="center"/>
    </xf>
    <xf numFmtId="0" fontId="8" fillId="0" borderId="0" xfId="0" applyFont="1" applyAlignment="1">
      <alignment horizontal="center"/>
    </xf>
    <xf numFmtId="0" fontId="5" fillId="0" borderId="0" xfId="0" applyFont="1" applyAlignment="1">
      <alignment horizontal="center" wrapText="1"/>
    </xf>
    <xf numFmtId="0" fontId="13" fillId="2" borderId="0" xfId="0" applyFont="1" applyFill="1" applyBorder="1" applyAlignment="1">
      <alignment horizontal="right" wrapText="1"/>
    </xf>
    <xf numFmtId="49" fontId="22" fillId="8" borderId="8" xfId="0" applyNumberFormat="1" applyFont="1" applyFill="1" applyBorder="1" applyAlignment="1">
      <alignment horizontal="left" vertical="center"/>
    </xf>
    <xf numFmtId="49" fontId="40" fillId="8" borderId="1" xfId="0" applyNumberFormat="1" applyFont="1" applyFill="1" applyBorder="1" applyAlignment="1">
      <alignment vertical="center" wrapText="1"/>
    </xf>
    <xf numFmtId="0" fontId="49" fillId="8" borderId="1" xfId="0" applyFont="1" applyFill="1" applyBorder="1" applyAlignment="1">
      <alignment horizontal="center" vertical="center"/>
    </xf>
    <xf numFmtId="0" fontId="22" fillId="8" borderId="1" xfId="0" applyFont="1" applyFill="1" applyBorder="1" applyAlignment="1">
      <alignment horizontal="left" vertical="center" wrapText="1"/>
    </xf>
    <xf numFmtId="49" fontId="22" fillId="8" borderId="1" xfId="0" applyNumberFormat="1" applyFont="1" applyFill="1" applyBorder="1" applyAlignment="1">
      <alignment horizontal="center" vertical="center" textRotation="90" wrapText="1"/>
    </xf>
    <xf numFmtId="49" fontId="22" fillId="8" borderId="1" xfId="0" applyNumberFormat="1" applyFont="1" applyFill="1" applyBorder="1" applyAlignment="1">
      <alignment horizontal="center" vertical="center" wrapText="1"/>
    </xf>
    <xf numFmtId="0" fontId="22" fillId="8" borderId="1" xfId="0" applyNumberFormat="1" applyFont="1" applyFill="1" applyBorder="1" applyAlignment="1">
      <alignment horizontal="center" vertical="center" wrapText="1"/>
    </xf>
    <xf numFmtId="2" fontId="22" fillId="8" borderId="1" xfId="0" applyNumberFormat="1" applyFont="1" applyFill="1" applyBorder="1" applyAlignment="1">
      <alignment horizontal="right" vertical="center"/>
    </xf>
    <xf numFmtId="2" fontId="22" fillId="8" borderId="13" xfId="0" applyNumberFormat="1" applyFont="1" applyFill="1" applyBorder="1" applyAlignment="1">
      <alignment horizontal="right" vertical="center"/>
    </xf>
    <xf numFmtId="2" fontId="22" fillId="8" borderId="23" xfId="0" applyNumberFormat="1" applyFont="1" applyFill="1" applyBorder="1" applyAlignment="1">
      <alignment horizontal="center" vertical="center" wrapText="1"/>
    </xf>
    <xf numFmtId="2" fontId="22" fillId="8" borderId="12" xfId="0" applyNumberFormat="1" applyFont="1" applyFill="1" applyBorder="1" applyAlignment="1">
      <alignment horizontal="center" vertical="center"/>
    </xf>
    <xf numFmtId="0" fontId="22" fillId="8" borderId="13" xfId="0" applyNumberFormat="1" applyFont="1" applyFill="1" applyBorder="1" applyAlignment="1">
      <alignment horizontal="left" vertical="center" wrapText="1"/>
    </xf>
    <xf numFmtId="2" fontId="22" fillId="8" borderId="7" xfId="0" applyNumberFormat="1" applyFont="1" applyFill="1" applyBorder="1" applyAlignment="1">
      <alignment horizontal="center" vertical="center"/>
    </xf>
    <xf numFmtId="0" fontId="22" fillId="8" borderId="7" xfId="0" applyNumberFormat="1" applyFont="1" applyFill="1" applyBorder="1" applyAlignment="1">
      <alignment vertical="center" wrapText="1"/>
    </xf>
    <xf numFmtId="0" fontId="22" fillId="8" borderId="8" xfId="0" applyNumberFormat="1" applyFont="1" applyFill="1" applyBorder="1" applyAlignment="1">
      <alignment horizontal="left" vertical="center" wrapText="1"/>
    </xf>
    <xf numFmtId="0" fontId="22" fillId="8" borderId="9" xfId="0" applyNumberFormat="1" applyFont="1" applyFill="1" applyBorder="1" applyAlignment="1">
      <alignment horizontal="left" vertical="center" wrapText="1"/>
    </xf>
    <xf numFmtId="2" fontId="22" fillId="8" borderId="1" xfId="0" applyNumberFormat="1" applyFont="1" applyFill="1" applyBorder="1" applyAlignment="1">
      <alignment horizontal="center" vertical="center" wrapText="1"/>
    </xf>
    <xf numFmtId="0" fontId="22" fillId="8" borderId="7" xfId="0" applyNumberFormat="1" applyFont="1" applyFill="1" applyBorder="1" applyAlignment="1">
      <alignment horizontal="right" vertical="center" wrapText="1"/>
    </xf>
    <xf numFmtId="0" fontId="22" fillId="8" borderId="7" xfId="0" applyFont="1" applyFill="1" applyBorder="1" applyAlignment="1">
      <alignment vertical="center"/>
    </xf>
    <xf numFmtId="0" fontId="22" fillId="8" borderId="8" xfId="0" applyFont="1" applyFill="1" applyBorder="1" applyAlignment="1">
      <alignment horizontal="left" vertical="center"/>
    </xf>
    <xf numFmtId="49" fontId="22" fillId="8" borderId="9" xfId="0" applyNumberFormat="1" applyFont="1" applyFill="1" applyBorder="1" applyAlignment="1">
      <alignment horizontal="left" vertical="center"/>
    </xf>
    <xf numFmtId="49" fontId="22" fillId="8" borderId="7" xfId="0" applyNumberFormat="1" applyFont="1" applyFill="1" applyBorder="1" applyAlignment="1">
      <alignment horizontal="center" vertical="center"/>
    </xf>
    <xf numFmtId="0" fontId="49" fillId="2" borderId="12" xfId="0" applyNumberFormat="1" applyFont="1" applyFill="1" applyBorder="1" applyAlignment="1">
      <alignment horizontal="left" vertical="center" wrapText="1"/>
    </xf>
    <xf numFmtId="0" fontId="40" fillId="2" borderId="7" xfId="0" applyFont="1" applyFill="1" applyBorder="1" applyAlignment="1">
      <alignment vertical="center"/>
    </xf>
    <xf numFmtId="0" fontId="40" fillId="2" borderId="8" xfId="0" applyFont="1" applyFill="1" applyBorder="1" applyAlignment="1">
      <alignment horizontal="left" vertical="center"/>
    </xf>
    <xf numFmtId="0" fontId="20" fillId="8" borderId="0" xfId="0" applyFont="1" applyFill="1" applyBorder="1" applyAlignment="1">
      <alignment vertical="center"/>
    </xf>
    <xf numFmtId="0" fontId="49" fillId="8" borderId="1" xfId="0" applyNumberFormat="1" applyFont="1" applyFill="1" applyBorder="1" applyAlignment="1">
      <alignment horizontal="center" vertical="center" wrapText="1"/>
    </xf>
    <xf numFmtId="0" fontId="63" fillId="3" borderId="1" xfId="0" applyNumberFormat="1" applyFont="1" applyFill="1" applyBorder="1" applyAlignment="1">
      <alignment horizontal="center" vertical="center"/>
    </xf>
    <xf numFmtId="0" fontId="22" fillId="0" borderId="8" xfId="0" applyFont="1" applyBorder="1" applyAlignment="1">
      <alignment vertical="center"/>
    </xf>
    <xf numFmtId="0" fontId="22" fillId="15" borderId="0" xfId="0" applyFont="1" applyFill="1" applyBorder="1" applyAlignment="1">
      <alignment vertical="center"/>
    </xf>
    <xf numFmtId="2" fontId="14" fillId="15" borderId="0" xfId="0" applyNumberFormat="1" applyFont="1" applyFill="1" applyBorder="1" applyAlignment="1"/>
  </cellXfs>
  <cellStyles count="1">
    <cellStyle name="Normal" xfId="0" builtinId="0"/>
  </cellStyles>
  <dxfs count="496">
    <dxf>
      <fill>
        <patternFill>
          <bgColor theme="6" tint="0.39994506668294322"/>
        </patternFill>
      </fill>
    </dxf>
    <dxf>
      <fill>
        <patternFill>
          <bgColor rgb="FFFFFF99"/>
        </patternFill>
      </fill>
    </dxf>
    <dxf>
      <fill>
        <patternFill>
          <bgColor theme="5" tint="0.39994506668294322"/>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lor rgb="FFFFFF00"/>
      </font>
      <fill>
        <patternFill>
          <bgColor rgb="FFFF0000"/>
        </patternFill>
      </fill>
    </dxf>
    <dxf>
      <font>
        <b/>
        <i val="0"/>
        <color rgb="FFFFFF00"/>
      </font>
      <fill>
        <patternFill>
          <bgColor rgb="FFFF000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lor rgb="FFFFFF00"/>
      </font>
      <fill>
        <patternFill>
          <bgColor rgb="FFFF0000"/>
        </patternFill>
      </fill>
    </dxf>
    <dxf>
      <fill>
        <patternFill>
          <bgColor rgb="FFFFFF99"/>
        </patternFill>
      </fill>
    </dxf>
    <dxf>
      <fill>
        <patternFill>
          <bgColor theme="5" tint="0.39994506668294322"/>
        </patternFill>
      </fill>
    </dxf>
    <dxf>
      <fill>
        <patternFill>
          <bgColor theme="6" tint="0.59996337778862885"/>
        </patternFill>
      </fill>
    </dxf>
    <dxf>
      <font>
        <color theme="0"/>
      </font>
    </dxf>
    <dxf>
      <font>
        <color auto="1"/>
      </font>
      <fill>
        <patternFill>
          <bgColor theme="9"/>
        </patternFill>
      </fill>
    </dxf>
    <dxf>
      <font>
        <b/>
        <i val="0"/>
        <color rgb="FFFF0000"/>
      </font>
      <fill>
        <patternFill>
          <bgColor rgb="FF00B0F0"/>
        </patternFill>
      </fill>
    </dxf>
    <dxf>
      <font>
        <b/>
        <i val="0"/>
        <condense val="0"/>
        <extend val="0"/>
        <color indexed="17"/>
      </font>
    </dxf>
    <dxf>
      <font>
        <b/>
        <i val="0"/>
        <condense val="0"/>
        <extend val="0"/>
        <color indexed="9"/>
      </font>
      <fill>
        <patternFill>
          <bgColor indexed="19"/>
        </patternFill>
      </fill>
    </dxf>
    <dxf>
      <font>
        <b/>
        <i val="0"/>
        <condense val="0"/>
        <extend val="0"/>
        <color indexed="9"/>
      </font>
      <fill>
        <patternFill>
          <bgColor indexed="17"/>
        </patternFill>
      </fill>
    </dxf>
    <dxf>
      <font>
        <b/>
        <i val="0"/>
        <condense val="0"/>
        <extend val="0"/>
        <color indexed="34"/>
      </font>
      <fill>
        <patternFill>
          <bgColor indexed="23"/>
        </patternFill>
      </fill>
    </dxf>
    <dxf>
      <font>
        <b/>
        <i val="0"/>
        <condense val="0"/>
        <extend val="0"/>
      </font>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condense val="0"/>
        <extend val="0"/>
        <color indexed="9"/>
      </font>
    </dxf>
    <dxf>
      <font>
        <b/>
        <i val="0"/>
        <condense val="0"/>
        <extend val="0"/>
        <color indexed="9"/>
      </font>
      <fill>
        <patternFill>
          <bgColor indexed="12"/>
        </patternFill>
      </fill>
    </dxf>
    <dxf>
      <font>
        <b/>
        <i val="0"/>
        <condense val="0"/>
        <extend val="0"/>
        <color indexed="9"/>
      </font>
      <fill>
        <patternFill>
          <bgColor indexed="54"/>
        </patternFill>
      </fill>
    </dxf>
    <dxf>
      <font>
        <b/>
        <i/>
        <condense val="0"/>
        <extend val="0"/>
        <color indexed="13"/>
      </font>
      <fill>
        <patternFill>
          <bgColor indexed="18"/>
        </patternFill>
      </fill>
    </dxf>
    <dxf>
      <font>
        <b/>
        <i val="0"/>
        <condense val="0"/>
        <extend val="0"/>
        <color indexed="9"/>
      </font>
      <fill>
        <patternFill>
          <bgColor indexed="12"/>
        </patternFill>
      </fill>
    </dxf>
    <dxf>
      <font>
        <b/>
        <i val="0"/>
        <color rgb="FFFFFF00"/>
      </font>
      <fill>
        <patternFill>
          <bgColor rgb="FFFF0000"/>
        </patternFill>
      </fill>
    </dxf>
    <dxf>
      <fill>
        <patternFill>
          <bgColor rgb="FFFFFF99"/>
        </patternFill>
      </fill>
    </dxf>
    <dxf>
      <fill>
        <patternFill>
          <bgColor theme="5" tint="0.39994506668294322"/>
        </patternFill>
      </fill>
    </dxf>
    <dxf>
      <fill>
        <patternFill>
          <bgColor theme="6" tint="0.59996337778862885"/>
        </patternFill>
      </fill>
    </dxf>
    <dxf>
      <fill>
        <patternFill>
          <bgColor theme="6" tint="0.39994506668294322"/>
        </patternFill>
      </fill>
    </dxf>
    <dxf>
      <fill>
        <patternFill>
          <bgColor rgb="FFFFFF99"/>
        </patternFill>
      </fill>
    </dxf>
    <dxf>
      <fill>
        <patternFill>
          <bgColor theme="5" tint="0.39994506668294322"/>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lor rgb="FFFFFF00"/>
      </font>
      <fill>
        <patternFill>
          <bgColor rgb="FFFF0000"/>
        </patternFill>
      </fill>
    </dxf>
    <dxf>
      <font>
        <b/>
        <i val="0"/>
        <color rgb="FFFFFF00"/>
      </font>
      <fill>
        <patternFill>
          <bgColor rgb="FFFF000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lor rgb="FFFFFF00"/>
      </font>
      <fill>
        <patternFill>
          <bgColor rgb="FFFF0000"/>
        </patternFill>
      </fill>
    </dxf>
    <dxf>
      <fill>
        <patternFill>
          <bgColor rgb="FFFFFF99"/>
        </patternFill>
      </fill>
    </dxf>
    <dxf>
      <fill>
        <patternFill>
          <bgColor theme="5" tint="0.39994506668294322"/>
        </patternFill>
      </fill>
    </dxf>
    <dxf>
      <fill>
        <patternFill>
          <bgColor theme="6" tint="0.59996337778862885"/>
        </patternFill>
      </fill>
    </dxf>
    <dxf>
      <font>
        <color theme="0"/>
      </font>
    </dxf>
    <dxf>
      <font>
        <color auto="1"/>
      </font>
      <fill>
        <patternFill>
          <bgColor theme="9"/>
        </patternFill>
      </fill>
    </dxf>
    <dxf>
      <font>
        <b/>
        <i val="0"/>
        <color rgb="FFFF0000"/>
      </font>
      <fill>
        <patternFill>
          <bgColor rgb="FF00B0F0"/>
        </patternFill>
      </fill>
    </dxf>
    <dxf>
      <font>
        <b/>
        <i val="0"/>
        <condense val="0"/>
        <extend val="0"/>
        <color indexed="17"/>
      </font>
    </dxf>
    <dxf>
      <font>
        <b/>
        <i val="0"/>
        <condense val="0"/>
        <extend val="0"/>
        <color indexed="9"/>
      </font>
      <fill>
        <patternFill>
          <bgColor indexed="19"/>
        </patternFill>
      </fill>
    </dxf>
    <dxf>
      <font>
        <b/>
        <i val="0"/>
        <condense val="0"/>
        <extend val="0"/>
        <color indexed="9"/>
      </font>
      <fill>
        <patternFill>
          <bgColor indexed="17"/>
        </patternFill>
      </fill>
    </dxf>
    <dxf>
      <font>
        <b/>
        <i val="0"/>
        <condense val="0"/>
        <extend val="0"/>
        <color indexed="34"/>
      </font>
      <fill>
        <patternFill>
          <bgColor indexed="23"/>
        </patternFill>
      </fill>
    </dxf>
    <dxf>
      <font>
        <b/>
        <i val="0"/>
        <condense val="0"/>
        <extend val="0"/>
      </font>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condense val="0"/>
        <extend val="0"/>
        <color indexed="9"/>
      </font>
    </dxf>
    <dxf>
      <font>
        <b/>
        <i val="0"/>
        <condense val="0"/>
        <extend val="0"/>
        <color indexed="9"/>
      </font>
      <fill>
        <patternFill>
          <bgColor indexed="12"/>
        </patternFill>
      </fill>
    </dxf>
    <dxf>
      <font>
        <b/>
        <i val="0"/>
        <condense val="0"/>
        <extend val="0"/>
        <color indexed="9"/>
      </font>
      <fill>
        <patternFill>
          <bgColor indexed="54"/>
        </patternFill>
      </fill>
    </dxf>
    <dxf>
      <font>
        <b/>
        <i/>
        <condense val="0"/>
        <extend val="0"/>
        <color indexed="13"/>
      </font>
      <fill>
        <patternFill>
          <bgColor indexed="18"/>
        </patternFill>
      </fill>
    </dxf>
    <dxf>
      <font>
        <b/>
        <i val="0"/>
        <condense val="0"/>
        <extend val="0"/>
        <color indexed="9"/>
      </font>
      <fill>
        <patternFill>
          <bgColor indexed="12"/>
        </patternFill>
      </fill>
    </dxf>
    <dxf>
      <font>
        <b/>
        <i val="0"/>
        <color rgb="FFFFFF00"/>
      </font>
      <fill>
        <patternFill>
          <bgColor rgb="FFFF000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ill>
        <patternFill>
          <bgColor indexed="15"/>
        </patternFill>
      </fill>
    </dxf>
    <dxf>
      <fill>
        <patternFill>
          <bgColor indexed="52"/>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0000"/>
      </font>
      <fill>
        <patternFill>
          <bgColor rgb="FF00B0F0"/>
        </patternFill>
      </fill>
    </dxf>
    <dxf>
      <font>
        <b/>
        <i val="0"/>
        <condense val="0"/>
        <extend val="0"/>
        <color indexed="17"/>
      </font>
    </dxf>
    <dxf>
      <font>
        <b/>
        <i val="0"/>
        <condense val="0"/>
        <extend val="0"/>
        <color indexed="9"/>
      </font>
      <fill>
        <patternFill>
          <bgColor indexed="19"/>
        </patternFill>
      </fill>
    </dxf>
    <dxf>
      <font>
        <b/>
        <i val="0"/>
        <condense val="0"/>
        <extend val="0"/>
        <color indexed="9"/>
      </font>
      <fill>
        <patternFill>
          <bgColor indexed="17"/>
        </patternFill>
      </fill>
    </dxf>
    <dxf>
      <font>
        <b/>
        <i val="0"/>
        <condense val="0"/>
        <extend val="0"/>
        <color indexed="9"/>
      </font>
      <fill>
        <patternFill>
          <bgColor indexed="50"/>
        </patternFill>
      </fill>
    </dxf>
    <dxf>
      <font>
        <b/>
        <i val="0"/>
        <condense val="0"/>
        <extend val="0"/>
        <color indexed="34"/>
      </font>
      <fill>
        <patternFill>
          <bgColor indexed="23"/>
        </patternFill>
      </fill>
    </dxf>
    <dxf>
      <font>
        <b/>
        <i val="0"/>
        <condense val="0"/>
        <extend val="0"/>
      </font>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13"/>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0000"/>
      </font>
      <fill>
        <patternFill>
          <bgColor rgb="FF00B0F0"/>
        </patternFill>
      </fill>
    </dxf>
    <dxf>
      <font>
        <b/>
        <i val="0"/>
        <condense val="0"/>
        <extend val="0"/>
        <color indexed="17"/>
      </font>
    </dxf>
    <dxf>
      <font>
        <b/>
        <i val="0"/>
        <condense val="0"/>
        <extend val="0"/>
        <color indexed="9"/>
      </font>
      <fill>
        <patternFill>
          <bgColor indexed="19"/>
        </patternFill>
      </fill>
    </dxf>
    <dxf>
      <font>
        <b/>
        <i val="0"/>
        <condense val="0"/>
        <extend val="0"/>
        <color indexed="9"/>
      </font>
      <fill>
        <patternFill>
          <bgColor indexed="17"/>
        </patternFill>
      </fill>
    </dxf>
    <dxf>
      <font>
        <b/>
        <i val="0"/>
        <condense val="0"/>
        <extend val="0"/>
        <color indexed="9"/>
      </font>
      <fill>
        <patternFill>
          <bgColor indexed="50"/>
        </patternFill>
      </fill>
    </dxf>
    <dxf>
      <font>
        <b/>
        <i val="0"/>
        <condense val="0"/>
        <extend val="0"/>
        <color indexed="34"/>
      </font>
      <fill>
        <patternFill>
          <bgColor indexed="23"/>
        </patternFill>
      </fill>
    </dxf>
    <dxf>
      <font>
        <b/>
        <i val="0"/>
        <condense val="0"/>
        <extend val="0"/>
      </font>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0000"/>
      </font>
      <fill>
        <patternFill>
          <bgColor rgb="FF00B0F0"/>
        </patternFill>
      </fill>
    </dxf>
    <dxf>
      <font>
        <b/>
        <i val="0"/>
        <condense val="0"/>
        <extend val="0"/>
        <color indexed="17"/>
      </font>
    </dxf>
    <dxf>
      <font>
        <b/>
        <i val="0"/>
        <condense val="0"/>
        <extend val="0"/>
        <color indexed="9"/>
      </font>
      <fill>
        <patternFill>
          <bgColor indexed="19"/>
        </patternFill>
      </fill>
    </dxf>
    <dxf>
      <font>
        <b/>
        <i val="0"/>
        <condense val="0"/>
        <extend val="0"/>
        <color indexed="9"/>
      </font>
      <fill>
        <patternFill>
          <bgColor indexed="17"/>
        </patternFill>
      </fill>
    </dxf>
    <dxf>
      <font>
        <b/>
        <i val="0"/>
        <condense val="0"/>
        <extend val="0"/>
        <color indexed="9"/>
      </font>
      <fill>
        <patternFill>
          <bgColor indexed="50"/>
        </patternFill>
      </fill>
    </dxf>
    <dxf>
      <font>
        <b/>
        <i val="0"/>
        <condense val="0"/>
        <extend val="0"/>
        <color indexed="34"/>
      </font>
      <fill>
        <patternFill>
          <bgColor indexed="23"/>
        </patternFill>
      </fill>
    </dxf>
    <dxf>
      <font>
        <b/>
        <i val="0"/>
        <condense val="0"/>
        <extend val="0"/>
      </font>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ill>
        <patternFill>
          <bgColor indexed="15"/>
        </patternFill>
      </fill>
    </dxf>
    <dxf>
      <fill>
        <patternFill>
          <bgColor indexed="13"/>
        </patternFill>
      </fill>
    </dxf>
    <dxf>
      <fill>
        <patternFill>
          <bgColor indexed="51"/>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ill>
        <patternFill>
          <bgColor indexed="15"/>
        </patternFill>
      </fill>
    </dxf>
    <dxf>
      <fill>
        <patternFill>
          <bgColor indexed="13"/>
        </patternFill>
      </fill>
    </dxf>
    <dxf>
      <fill>
        <patternFill>
          <bgColor indexed="51"/>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ill>
        <patternFill>
          <bgColor indexed="15"/>
        </patternFill>
      </fill>
    </dxf>
    <dxf>
      <fill>
        <patternFill>
          <bgColor indexed="13"/>
        </patternFill>
      </fill>
    </dxf>
    <dxf>
      <fill>
        <patternFill>
          <bgColor indexed="51"/>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ill>
        <patternFill>
          <bgColor theme="6" tint="0.39994506668294322"/>
        </patternFill>
      </fill>
    </dxf>
    <dxf>
      <fill>
        <patternFill>
          <bgColor rgb="FFFFFF99"/>
        </patternFill>
      </fill>
    </dxf>
    <dxf>
      <fill>
        <patternFill>
          <bgColor theme="5" tint="0.39994506668294322"/>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lor rgb="FFFFFF00"/>
      </font>
      <fill>
        <patternFill>
          <bgColor rgb="FFFF0000"/>
        </patternFill>
      </fill>
    </dxf>
    <dxf>
      <font>
        <b/>
        <i val="0"/>
        <color rgb="FFFFFF00"/>
      </font>
      <fill>
        <patternFill>
          <bgColor rgb="FFFF000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lor rgb="FFFFFF00"/>
      </font>
      <fill>
        <patternFill>
          <bgColor rgb="FFFF0000"/>
        </patternFill>
      </fill>
    </dxf>
    <dxf>
      <fill>
        <patternFill>
          <bgColor rgb="FFFFFF99"/>
        </patternFill>
      </fill>
    </dxf>
    <dxf>
      <fill>
        <patternFill>
          <bgColor theme="5" tint="0.39994506668294322"/>
        </patternFill>
      </fill>
    </dxf>
    <dxf>
      <fill>
        <patternFill>
          <bgColor theme="6" tint="0.59996337778862885"/>
        </patternFill>
      </fill>
    </dxf>
    <dxf>
      <font>
        <color theme="0"/>
      </font>
    </dxf>
    <dxf>
      <font>
        <color auto="1"/>
      </font>
      <fill>
        <patternFill>
          <bgColor theme="9"/>
        </patternFill>
      </fill>
    </dxf>
    <dxf>
      <font>
        <b/>
        <i val="0"/>
        <color rgb="FFFF0000"/>
      </font>
      <fill>
        <patternFill>
          <bgColor rgb="FF00B0F0"/>
        </patternFill>
      </fill>
    </dxf>
    <dxf>
      <font>
        <b/>
        <i val="0"/>
        <condense val="0"/>
        <extend val="0"/>
        <color indexed="17"/>
      </font>
    </dxf>
    <dxf>
      <font>
        <b/>
        <i val="0"/>
        <condense val="0"/>
        <extend val="0"/>
        <color indexed="9"/>
      </font>
      <fill>
        <patternFill>
          <bgColor indexed="19"/>
        </patternFill>
      </fill>
    </dxf>
    <dxf>
      <font>
        <b/>
        <i val="0"/>
        <condense val="0"/>
        <extend val="0"/>
        <color indexed="9"/>
      </font>
      <fill>
        <patternFill>
          <bgColor indexed="17"/>
        </patternFill>
      </fill>
    </dxf>
    <dxf>
      <font>
        <b/>
        <i val="0"/>
        <condense val="0"/>
        <extend val="0"/>
        <color indexed="34"/>
      </font>
      <fill>
        <patternFill>
          <bgColor indexed="23"/>
        </patternFill>
      </fill>
    </dxf>
    <dxf>
      <font>
        <b/>
        <i val="0"/>
        <condense val="0"/>
        <extend val="0"/>
      </font>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condense val="0"/>
        <extend val="0"/>
        <color indexed="9"/>
      </font>
    </dxf>
    <dxf>
      <font>
        <b/>
        <i val="0"/>
        <condense val="0"/>
        <extend val="0"/>
        <color indexed="9"/>
      </font>
      <fill>
        <patternFill>
          <bgColor indexed="12"/>
        </patternFill>
      </fill>
    </dxf>
    <dxf>
      <font>
        <b/>
        <i val="0"/>
        <condense val="0"/>
        <extend val="0"/>
        <color indexed="9"/>
      </font>
      <fill>
        <patternFill>
          <bgColor indexed="54"/>
        </patternFill>
      </fill>
    </dxf>
    <dxf>
      <font>
        <b/>
        <i/>
        <condense val="0"/>
        <extend val="0"/>
        <color indexed="13"/>
      </font>
      <fill>
        <patternFill>
          <bgColor indexed="18"/>
        </patternFill>
      </fill>
    </dxf>
    <dxf>
      <font>
        <b/>
        <i val="0"/>
        <condense val="0"/>
        <extend val="0"/>
        <color indexed="9"/>
      </font>
      <fill>
        <patternFill>
          <bgColor indexed="12"/>
        </patternFill>
      </fill>
    </dxf>
    <dxf>
      <font>
        <b/>
        <i val="0"/>
        <color rgb="FFFFFF00"/>
      </font>
      <fill>
        <patternFill>
          <bgColor rgb="FFFF0000"/>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0000"/>
      </font>
      <fill>
        <patternFill>
          <bgColor rgb="FF00B0F0"/>
        </patternFill>
      </fill>
    </dxf>
    <dxf>
      <font>
        <b/>
        <i val="0"/>
        <condense val="0"/>
        <extend val="0"/>
        <color indexed="17"/>
      </font>
    </dxf>
    <dxf>
      <font>
        <b/>
        <i val="0"/>
        <condense val="0"/>
        <extend val="0"/>
        <color indexed="9"/>
      </font>
      <fill>
        <patternFill>
          <bgColor indexed="19"/>
        </patternFill>
      </fill>
    </dxf>
    <dxf>
      <font>
        <b/>
        <i val="0"/>
        <condense val="0"/>
        <extend val="0"/>
        <color indexed="9"/>
      </font>
      <fill>
        <patternFill>
          <bgColor indexed="17"/>
        </patternFill>
      </fill>
    </dxf>
    <dxf>
      <font>
        <b/>
        <i val="0"/>
        <condense val="0"/>
        <extend val="0"/>
        <color indexed="9"/>
      </font>
      <fill>
        <patternFill>
          <bgColor indexed="50"/>
        </patternFill>
      </fill>
    </dxf>
    <dxf>
      <font>
        <b/>
        <i val="0"/>
        <condense val="0"/>
        <extend val="0"/>
        <color indexed="34"/>
      </font>
      <fill>
        <patternFill>
          <bgColor indexed="23"/>
        </patternFill>
      </fill>
    </dxf>
    <dxf>
      <font>
        <b/>
        <i val="0"/>
        <condense val="0"/>
        <extend val="0"/>
      </font>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13"/>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s>
  <tableStyles count="0" defaultTableStyle="TableStyleMedium2" defaultPivotStyle="PivotStyleLight16"/>
  <colors>
    <mruColors>
      <color rgb="FF0000FF"/>
      <color rgb="FF800000"/>
      <color rgb="FFFAF2B6"/>
      <color rgb="FFFFFFFF"/>
      <color rgb="FFD0FEDC"/>
      <color rgb="FFE5FEFF"/>
      <color rgb="FFD3FDE0"/>
      <color rgb="FF990000"/>
      <color rgb="FFFFCCFF"/>
      <color rgb="FFECFE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400050</xdr:colOff>
      <xdr:row>1</xdr:row>
      <xdr:rowOff>485775</xdr:rowOff>
    </xdr:from>
    <xdr:to>
      <xdr:col>1</xdr:col>
      <xdr:colOff>295275</xdr:colOff>
      <xdr:row>1</xdr:row>
      <xdr:rowOff>485775</xdr:rowOff>
    </xdr:to>
    <xdr:sp macro="" textlink="">
      <xdr:nvSpPr>
        <xdr:cNvPr id="2" name="Line 3"/>
        <xdr:cNvSpPr>
          <a:spLocks noChangeShapeType="1"/>
        </xdr:cNvSpPr>
      </xdr:nvSpPr>
      <xdr:spPr bwMode="auto">
        <a:xfrm>
          <a:off x="295275" y="447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173935</xdr:colOff>
      <xdr:row>2</xdr:row>
      <xdr:rowOff>24849</xdr:rowOff>
    </xdr:from>
    <xdr:to>
      <xdr:col>37</xdr:col>
      <xdr:colOff>149086</xdr:colOff>
      <xdr:row>2</xdr:row>
      <xdr:rowOff>24849</xdr:rowOff>
    </xdr:to>
    <xdr:sp macro="" textlink="">
      <xdr:nvSpPr>
        <xdr:cNvPr id="3" name="Line 4"/>
        <xdr:cNvSpPr>
          <a:spLocks noChangeShapeType="1"/>
        </xdr:cNvSpPr>
      </xdr:nvSpPr>
      <xdr:spPr bwMode="auto">
        <a:xfrm flipV="1">
          <a:off x="5077239" y="472110"/>
          <a:ext cx="130036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529670</xdr:colOff>
      <xdr:row>2</xdr:row>
      <xdr:rowOff>29816</xdr:rowOff>
    </xdr:from>
    <xdr:to>
      <xdr:col>17</xdr:col>
      <xdr:colOff>43895</xdr:colOff>
      <xdr:row>2</xdr:row>
      <xdr:rowOff>29816</xdr:rowOff>
    </xdr:to>
    <xdr:cxnSp macro="">
      <xdr:nvCxnSpPr>
        <xdr:cNvPr id="4" name="Straight Connector 3"/>
        <xdr:cNvCxnSpPr/>
      </xdr:nvCxnSpPr>
      <xdr:spPr>
        <a:xfrm>
          <a:off x="769866" y="477077"/>
          <a:ext cx="76489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908539</xdr:colOff>
      <xdr:row>2</xdr:row>
      <xdr:rowOff>29307</xdr:rowOff>
    </xdr:from>
    <xdr:to>
      <xdr:col>61</xdr:col>
      <xdr:colOff>227135</xdr:colOff>
      <xdr:row>2</xdr:row>
      <xdr:rowOff>29307</xdr:rowOff>
    </xdr:to>
    <xdr:cxnSp macro="">
      <xdr:nvCxnSpPr>
        <xdr:cNvPr id="3" name="Straight Connector 2"/>
        <xdr:cNvCxnSpPr/>
      </xdr:nvCxnSpPr>
      <xdr:spPr>
        <a:xfrm>
          <a:off x="5319347" y="454269"/>
          <a:ext cx="17071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952499</xdr:colOff>
      <xdr:row>2</xdr:row>
      <xdr:rowOff>36634</xdr:rowOff>
    </xdr:from>
    <xdr:to>
      <xdr:col>5</xdr:col>
      <xdr:colOff>366346</xdr:colOff>
      <xdr:row>2</xdr:row>
      <xdr:rowOff>36634</xdr:rowOff>
    </xdr:to>
    <xdr:cxnSp macro="">
      <xdr:nvCxnSpPr>
        <xdr:cNvPr id="4" name="Straight Connector 3"/>
        <xdr:cNvCxnSpPr/>
      </xdr:nvCxnSpPr>
      <xdr:spPr>
        <a:xfrm>
          <a:off x="1282211" y="461596"/>
          <a:ext cx="52753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wnloads/Bang%20luong%20HCHCQG%20(11-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g+PC%205.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Luong%20+%20PCTN%20NG/1.%20N&#226;ng%20(Lg%20+%20PC%20NG)/3.%20Lg%20TX%20+%20PC%20NG%202014/9.%20LgTX%20+%20PCNG%2006-9-%202014/@1%20Lg+PC%209-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g Dữ liệu (không sửa)"/>
      <sheetName val="1. Số lượng, cơ cấu"/>
      <sheetName val="2. Bảng lương hiện hành"/>
      <sheetName val="- DLiêu Gốc (Không sửa)"/>
    </sheetNames>
    <sheetDataSet>
      <sheetData sheetId="0" refreshError="1"/>
      <sheetData sheetId="1" refreshError="1"/>
      <sheetData sheetId="2" refreshError="1"/>
      <sheetData sheetId="3" refreshError="1">
        <row r="1">
          <cell r="C1" t="str">
            <v>NGẠCH</v>
          </cell>
        </row>
        <row r="2">
          <cell r="C2" t="str">
            <v>Giảng viên cao cấp (hạng I)</v>
          </cell>
          <cell r="D2" t="str">
            <v>V.07.01.01</v>
          </cell>
          <cell r="E2">
            <v>6.2</v>
          </cell>
          <cell r="F2">
            <v>0.36</v>
          </cell>
          <cell r="G2" t="str">
            <v>A3</v>
          </cell>
          <cell r="H2" t="str">
            <v>A3.1</v>
          </cell>
        </row>
        <row r="3">
          <cell r="C3" t="str">
            <v>Giảng viên chính (hạng II)</v>
          </cell>
          <cell r="D3" t="str">
            <v>V.07.01.02</v>
          </cell>
          <cell r="E3">
            <v>4.4000000000000004</v>
          </cell>
          <cell r="F3">
            <v>0.34</v>
          </cell>
          <cell r="G3" t="str">
            <v>A2</v>
          </cell>
          <cell r="H3" t="str">
            <v>A2.1</v>
          </cell>
        </row>
        <row r="4">
          <cell r="C4" t="str">
            <v>Giảng viên (hạng III)</v>
          </cell>
          <cell r="D4" t="str">
            <v>V.07.01.03</v>
          </cell>
          <cell r="E4">
            <v>2.34</v>
          </cell>
          <cell r="F4">
            <v>0.33</v>
          </cell>
          <cell r="G4" t="str">
            <v>A1</v>
          </cell>
          <cell r="H4" t="str">
            <v>- - -</v>
          </cell>
        </row>
        <row r="5">
          <cell r="C5" t="str">
            <v>Giảng viên chính</v>
          </cell>
          <cell r="D5" t="str">
            <v>15.110</v>
          </cell>
          <cell r="E5">
            <v>4.4000000000000004</v>
          </cell>
          <cell r="F5">
            <v>0.34</v>
          </cell>
          <cell r="G5" t="str">
            <v>A2</v>
          </cell>
          <cell r="H5" t="str">
            <v>A2.1</v>
          </cell>
        </row>
        <row r="6">
          <cell r="C6" t="str">
            <v xml:space="preserve">Giảng viên </v>
          </cell>
          <cell r="D6" t="str">
            <v>15.111</v>
          </cell>
          <cell r="E6">
            <v>2.34</v>
          </cell>
          <cell r="F6">
            <v>0.33</v>
          </cell>
          <cell r="G6" t="str">
            <v>A1</v>
          </cell>
          <cell r="H6" t="str">
            <v>- - -</v>
          </cell>
        </row>
        <row r="7">
          <cell r="C7" t="str">
            <v>Giáo viên trung học cao cấp</v>
          </cell>
          <cell r="D7" t="str">
            <v>15.112</v>
          </cell>
          <cell r="E7">
            <v>4</v>
          </cell>
          <cell r="F7">
            <v>0.34</v>
          </cell>
          <cell r="G7" t="str">
            <v>A2</v>
          </cell>
          <cell r="H7" t="str">
            <v>A2.2</v>
          </cell>
        </row>
        <row r="8">
          <cell r="C8" t="str">
            <v>Giáo viên trung học</v>
          </cell>
          <cell r="D8" t="str">
            <v>15.113</v>
          </cell>
          <cell r="E8">
            <v>2.34</v>
          </cell>
          <cell r="F8">
            <v>0.33</v>
          </cell>
          <cell r="G8" t="str">
            <v>A1</v>
          </cell>
          <cell r="H8" t="str">
            <v>- - -</v>
          </cell>
        </row>
        <row r="9">
          <cell r="C9" t="str">
            <v>Giáo viên trung học cơ sở chính</v>
          </cell>
          <cell r="D9" t="str">
            <v>15a.201</v>
          </cell>
          <cell r="E9">
            <v>2.34</v>
          </cell>
          <cell r="F9">
            <v>0.33</v>
          </cell>
          <cell r="G9" t="str">
            <v>A1</v>
          </cell>
          <cell r="H9" t="str">
            <v>- - -</v>
          </cell>
        </row>
        <row r="10">
          <cell r="C10" t="str">
            <v>Giáo viên trung học cơ sở</v>
          </cell>
          <cell r="D10" t="str">
            <v>15a.202</v>
          </cell>
          <cell r="E10">
            <v>2.1</v>
          </cell>
          <cell r="F10">
            <v>0.31</v>
          </cell>
          <cell r="G10" t="str">
            <v>A0</v>
          </cell>
          <cell r="H10" t="str">
            <v>- - -</v>
          </cell>
        </row>
        <row r="11">
          <cell r="C11" t="str">
            <v>Nghiên cứu viên cao cấp (hạng I)</v>
          </cell>
          <cell r="D11" t="str">
            <v>V.05.01.01</v>
          </cell>
          <cell r="E11">
            <v>6.2</v>
          </cell>
          <cell r="F11">
            <v>0.36</v>
          </cell>
          <cell r="G11" t="str">
            <v>A3</v>
          </cell>
          <cell r="H11" t="str">
            <v>A3.1</v>
          </cell>
        </row>
        <row r="12">
          <cell r="C12" t="str">
            <v>Nghiên cứu viên chính (hạng II)</v>
          </cell>
          <cell r="D12" t="str">
            <v>V.05.01.02</v>
          </cell>
          <cell r="E12">
            <v>4.4000000000000004</v>
          </cell>
          <cell r="F12">
            <v>0.34</v>
          </cell>
          <cell r="G12" t="str">
            <v>A2</v>
          </cell>
          <cell r="H12" t="str">
            <v>A2.1</v>
          </cell>
        </row>
        <row r="13">
          <cell r="C13" t="str">
            <v>Nghiên cứu viên (hạng III)</v>
          </cell>
          <cell r="D13" t="str">
            <v>V.05.01.03</v>
          </cell>
          <cell r="E13">
            <v>2.34</v>
          </cell>
          <cell r="F13">
            <v>0.33</v>
          </cell>
          <cell r="G13" t="str">
            <v>A1</v>
          </cell>
          <cell r="H13" t="str">
            <v>- - -</v>
          </cell>
        </row>
        <row r="14">
          <cell r="C14" t="str">
            <v>Chuyên viên cao cấp</v>
          </cell>
          <cell r="D14" t="str">
            <v>01.001</v>
          </cell>
          <cell r="E14">
            <v>6.2</v>
          </cell>
          <cell r="F14">
            <v>0.36</v>
          </cell>
          <cell r="G14" t="str">
            <v>A3</v>
          </cell>
          <cell r="H14" t="str">
            <v>A3.1</v>
          </cell>
        </row>
        <row r="15">
          <cell r="C15" t="str">
            <v>Chuyên viên chính</v>
          </cell>
          <cell r="D15" t="str">
            <v>01.002</v>
          </cell>
          <cell r="E15">
            <v>4.4000000000000004</v>
          </cell>
          <cell r="F15">
            <v>0.34</v>
          </cell>
          <cell r="G15" t="str">
            <v>A2</v>
          </cell>
          <cell r="H15" t="str">
            <v>A2.1</v>
          </cell>
        </row>
        <row r="16">
          <cell r="C16" t="str">
            <v>Chuyên viên</v>
          </cell>
          <cell r="D16" t="str">
            <v>01.003</v>
          </cell>
          <cell r="E16">
            <v>2.34</v>
          </cell>
          <cell r="F16">
            <v>0.33</v>
          </cell>
          <cell r="G16" t="str">
            <v>A1</v>
          </cell>
          <cell r="H16" t="str">
            <v>- - -</v>
          </cell>
        </row>
        <row r="17">
          <cell r="C17" t="str">
            <v>Chuyên viên (cao đẳng)</v>
          </cell>
          <cell r="D17" t="str">
            <v>01a.003</v>
          </cell>
          <cell r="E17">
            <v>2.1</v>
          </cell>
          <cell r="F17">
            <v>0.31</v>
          </cell>
          <cell r="G17" t="str">
            <v>A0</v>
          </cell>
          <cell r="H17" t="str">
            <v>- - -</v>
          </cell>
        </row>
        <row r="18">
          <cell r="C18" t="str">
            <v>Cán sự</v>
          </cell>
          <cell r="D18" t="str">
            <v>01.004</v>
          </cell>
          <cell r="E18">
            <v>1.86</v>
          </cell>
          <cell r="F18">
            <v>0.2</v>
          </cell>
          <cell r="G18" t="str">
            <v>B</v>
          </cell>
          <cell r="H18" t="str">
            <v>- - -</v>
          </cell>
        </row>
        <row r="19">
          <cell r="C19" t="str">
            <v>Thanh tra viên cao cấp</v>
          </cell>
          <cell r="D19" t="str">
            <v>04.023</v>
          </cell>
          <cell r="E19">
            <v>6.2</v>
          </cell>
          <cell r="F19">
            <v>0.36</v>
          </cell>
          <cell r="G19" t="str">
            <v>A3</v>
          </cell>
          <cell r="H19" t="str">
            <v>A3.1</v>
          </cell>
        </row>
        <row r="20">
          <cell r="C20" t="str">
            <v>Thanh tra viên chính</v>
          </cell>
          <cell r="D20" t="str">
            <v>04.024</v>
          </cell>
          <cell r="E20">
            <v>4.4000000000000004</v>
          </cell>
          <cell r="F20">
            <v>0.34</v>
          </cell>
          <cell r="G20" t="str">
            <v>A2</v>
          </cell>
          <cell r="H20" t="str">
            <v>A2.1</v>
          </cell>
        </row>
        <row r="21">
          <cell r="C21" t="str">
            <v>Thanh tra viên</v>
          </cell>
          <cell r="D21" t="str">
            <v>04.025</v>
          </cell>
          <cell r="E21">
            <v>2.34</v>
          </cell>
          <cell r="F21">
            <v>0.33</v>
          </cell>
          <cell r="G21" t="str">
            <v>A1</v>
          </cell>
          <cell r="H21" t="str">
            <v>- - -</v>
          </cell>
        </row>
        <row r="22">
          <cell r="C22" t="str">
            <v>Kiểm tra viên</v>
          </cell>
          <cell r="D22" t="str">
            <v>04,025A</v>
          </cell>
          <cell r="E22">
            <v>2.34</v>
          </cell>
          <cell r="F22">
            <v>0.33</v>
          </cell>
          <cell r="G22" t="str">
            <v>A1</v>
          </cell>
          <cell r="H22" t="str">
            <v>- - -</v>
          </cell>
        </row>
        <row r="23">
          <cell r="C23" t="str">
            <v>Thẩm tra viên</v>
          </cell>
          <cell r="D23" t="str">
            <v>03.230</v>
          </cell>
          <cell r="E23">
            <v>2.34</v>
          </cell>
          <cell r="F23">
            <v>0.33</v>
          </cell>
          <cell r="G23" t="str">
            <v>A1</v>
          </cell>
          <cell r="H23" t="str">
            <v>- - -</v>
          </cell>
        </row>
        <row r="24">
          <cell r="C24" t="str">
            <v>Thư viện viên cao cấp</v>
          </cell>
          <cell r="D24" t="str">
            <v>17.168</v>
          </cell>
          <cell r="E24">
            <v>5.75</v>
          </cell>
          <cell r="F24">
            <v>0.36</v>
          </cell>
          <cell r="G24" t="str">
            <v>A3</v>
          </cell>
          <cell r="H24" t="str">
            <v>A3.2</v>
          </cell>
        </row>
        <row r="25">
          <cell r="C25" t="str">
            <v>Thư viện viên chính</v>
          </cell>
          <cell r="D25" t="str">
            <v>17.169</v>
          </cell>
          <cell r="E25">
            <v>4</v>
          </cell>
          <cell r="F25">
            <v>0.34</v>
          </cell>
          <cell r="G25" t="str">
            <v>A2</v>
          </cell>
          <cell r="H25" t="str">
            <v>A2.2</v>
          </cell>
        </row>
        <row r="26">
          <cell r="C26" t="str">
            <v>Thư viện viên</v>
          </cell>
          <cell r="D26" t="str">
            <v>17.170</v>
          </cell>
          <cell r="E26">
            <v>2.34</v>
          </cell>
          <cell r="F26">
            <v>0.33</v>
          </cell>
          <cell r="G26" t="str">
            <v>A1</v>
          </cell>
          <cell r="H26" t="str">
            <v>- - -</v>
          </cell>
        </row>
        <row r="27">
          <cell r="C27" t="str">
            <v>Thư viện viên (cao đẳng)</v>
          </cell>
          <cell r="D27" t="str">
            <v>17a.170</v>
          </cell>
          <cell r="E27">
            <v>2.1</v>
          </cell>
          <cell r="F27">
            <v>0.31</v>
          </cell>
          <cell r="G27" t="str">
            <v>A0</v>
          </cell>
          <cell r="H27" t="str">
            <v>- - -</v>
          </cell>
        </row>
        <row r="28">
          <cell r="C28" t="str">
            <v>Thư viện viên trung cấp</v>
          </cell>
          <cell r="D28" t="str">
            <v>17.171</v>
          </cell>
          <cell r="E28">
            <v>1.86</v>
          </cell>
          <cell r="F28">
            <v>0.2</v>
          </cell>
          <cell r="G28" t="str">
            <v>B</v>
          </cell>
          <cell r="H28" t="str">
            <v>- - -</v>
          </cell>
        </row>
        <row r="29">
          <cell r="C29" t="str">
            <v>Kỹ sư cao cấp (hạng I)</v>
          </cell>
          <cell r="D29" t="str">
            <v>V.05.02.05</v>
          </cell>
          <cell r="E29">
            <v>6.2</v>
          </cell>
          <cell r="F29">
            <v>0.36</v>
          </cell>
          <cell r="G29" t="str">
            <v>A3</v>
          </cell>
          <cell r="H29" t="str">
            <v>A3.1</v>
          </cell>
        </row>
        <row r="30">
          <cell r="C30" t="str">
            <v>Kỹ sư chính (hạng II)</v>
          </cell>
          <cell r="D30" t="str">
            <v>V.05.02.06</v>
          </cell>
          <cell r="E30">
            <v>4.4000000000000004</v>
          </cell>
          <cell r="F30">
            <v>0.34</v>
          </cell>
          <cell r="G30" t="str">
            <v>A2</v>
          </cell>
          <cell r="H30" t="str">
            <v>A2.1</v>
          </cell>
        </row>
        <row r="31">
          <cell r="C31" t="str">
            <v>Kỹ sư (hạng III)</v>
          </cell>
          <cell r="D31" t="str">
            <v>V.05.02.07</v>
          </cell>
          <cell r="E31">
            <v>2.34</v>
          </cell>
          <cell r="F31">
            <v>0.33</v>
          </cell>
          <cell r="G31" t="str">
            <v>A1</v>
          </cell>
          <cell r="H31" t="str">
            <v>- - -</v>
          </cell>
        </row>
        <row r="32">
          <cell r="C32" t="str">
            <v>Kỹ thuật viên (hạng IV)</v>
          </cell>
          <cell r="D32" t="str">
            <v>V.05.02.08</v>
          </cell>
          <cell r="E32">
            <v>1.86</v>
          </cell>
          <cell r="F32">
            <v>0.2</v>
          </cell>
          <cell r="G32" t="str">
            <v>B</v>
          </cell>
          <cell r="H32" t="str">
            <v>- - -</v>
          </cell>
        </row>
        <row r="33">
          <cell r="C33" t="str">
            <v>Bác sỹ cao cấp</v>
          </cell>
          <cell r="D33" t="str">
            <v>16.116</v>
          </cell>
          <cell r="E33">
            <v>6.2</v>
          </cell>
          <cell r="F33">
            <v>0.36</v>
          </cell>
          <cell r="G33" t="str">
            <v>A3</v>
          </cell>
          <cell r="H33" t="str">
            <v>A3.1</v>
          </cell>
        </row>
        <row r="34">
          <cell r="C34" t="str">
            <v>Bác sỹ chính</v>
          </cell>
          <cell r="D34" t="str">
            <v xml:space="preserve"> </v>
          </cell>
          <cell r="E34">
            <v>4.4000000000000004</v>
          </cell>
          <cell r="F34">
            <v>0.34</v>
          </cell>
          <cell r="G34" t="str">
            <v>A2</v>
          </cell>
          <cell r="H34" t="str">
            <v>A2.1</v>
          </cell>
        </row>
        <row r="35">
          <cell r="C35" t="str">
            <v>Bác sỹ</v>
          </cell>
          <cell r="D35" t="str">
            <v>16.118</v>
          </cell>
          <cell r="E35">
            <v>2.34</v>
          </cell>
          <cell r="F35">
            <v>0.33</v>
          </cell>
          <cell r="G35" t="str">
            <v>A1</v>
          </cell>
          <cell r="H35" t="str">
            <v>- - -</v>
          </cell>
        </row>
        <row r="36">
          <cell r="C36" t="str">
            <v>Y sỹ</v>
          </cell>
          <cell r="D36" t="str">
            <v>16.119</v>
          </cell>
          <cell r="E36">
            <v>1.86</v>
          </cell>
          <cell r="F36">
            <v>0.2</v>
          </cell>
          <cell r="G36" t="str">
            <v>B</v>
          </cell>
          <cell r="H36" t="str">
            <v>- - -</v>
          </cell>
        </row>
        <row r="37">
          <cell r="C37" t="str">
            <v>Biên tập viên cao cấp</v>
          </cell>
          <cell r="D37" t="str">
            <v>17.139</v>
          </cell>
          <cell r="E37">
            <v>6.2</v>
          </cell>
          <cell r="F37">
            <v>0.36</v>
          </cell>
          <cell r="G37" t="str">
            <v>A3</v>
          </cell>
          <cell r="H37" t="str">
            <v>A3.1</v>
          </cell>
        </row>
        <row r="38">
          <cell r="C38" t="str">
            <v>Biên tập viên chính</v>
          </cell>
          <cell r="D38" t="str">
            <v>17.140</v>
          </cell>
          <cell r="E38">
            <v>4.4000000000000004</v>
          </cell>
          <cell r="F38">
            <v>0.34</v>
          </cell>
          <cell r="G38" t="str">
            <v>A2</v>
          </cell>
          <cell r="H38" t="str">
            <v>A2.1</v>
          </cell>
        </row>
        <row r="39">
          <cell r="C39" t="str">
            <v>Biên tập viên</v>
          </cell>
          <cell r="D39" t="str">
            <v>17.141</v>
          </cell>
          <cell r="E39">
            <v>2.34</v>
          </cell>
          <cell r="F39">
            <v>0.33</v>
          </cell>
          <cell r="G39" t="str">
            <v>A1</v>
          </cell>
          <cell r="H39" t="str">
            <v>- - -</v>
          </cell>
        </row>
        <row r="40">
          <cell r="C40" t="str">
            <v>Phóng viên cao cấp</v>
          </cell>
          <cell r="D40" t="str">
            <v>17.142</v>
          </cell>
          <cell r="E40">
            <v>6.2</v>
          </cell>
          <cell r="F40">
            <v>0.36</v>
          </cell>
          <cell r="G40" t="str">
            <v>A3</v>
          </cell>
          <cell r="H40" t="str">
            <v>A3.1</v>
          </cell>
        </row>
        <row r="41">
          <cell r="C41" t="str">
            <v>Phóng viên chính</v>
          </cell>
          <cell r="D41" t="str">
            <v>17.143</v>
          </cell>
          <cell r="E41">
            <v>4.4000000000000004</v>
          </cell>
          <cell r="F41">
            <v>0.34</v>
          </cell>
          <cell r="G41" t="str">
            <v>A2</v>
          </cell>
          <cell r="H41" t="str">
            <v>A2.1</v>
          </cell>
        </row>
        <row r="42">
          <cell r="C42" t="str">
            <v>Phóng viên</v>
          </cell>
          <cell r="D42" t="str">
            <v>17.144</v>
          </cell>
          <cell r="E42">
            <v>2.34</v>
          </cell>
          <cell r="F42">
            <v>0.33</v>
          </cell>
          <cell r="G42" t="str">
            <v>A1</v>
          </cell>
          <cell r="H42" t="str">
            <v>- - -</v>
          </cell>
        </row>
        <row r="43">
          <cell r="C43" t="str">
            <v>Kế toán viên cao cấp</v>
          </cell>
          <cell r="D43" t="str">
            <v>06.029</v>
          </cell>
          <cell r="E43">
            <v>5.75</v>
          </cell>
          <cell r="F43">
            <v>0.36</v>
          </cell>
          <cell r="G43" t="str">
            <v>A3</v>
          </cell>
          <cell r="H43" t="str">
            <v>A3.2</v>
          </cell>
        </row>
        <row r="44">
          <cell r="C44" t="str">
            <v>Kế toán viên chính</v>
          </cell>
          <cell r="D44" t="str">
            <v>06.030</v>
          </cell>
          <cell r="E44">
            <v>4</v>
          </cell>
          <cell r="F44">
            <v>0.34</v>
          </cell>
          <cell r="G44" t="str">
            <v>A2</v>
          </cell>
          <cell r="H44" t="str">
            <v>A2.2</v>
          </cell>
        </row>
        <row r="45">
          <cell r="C45" t="str">
            <v>Kế toán viên</v>
          </cell>
          <cell r="D45" t="str">
            <v>06.031</v>
          </cell>
          <cell r="E45">
            <v>2.34</v>
          </cell>
          <cell r="F45">
            <v>0.33</v>
          </cell>
          <cell r="G45" t="str">
            <v>A1</v>
          </cell>
          <cell r="H45" t="str">
            <v>- - -</v>
          </cell>
        </row>
        <row r="46">
          <cell r="C46" t="str">
            <v>Kế toán viên (cao đẳng)</v>
          </cell>
          <cell r="D46" t="str">
            <v>06a.031</v>
          </cell>
          <cell r="E46">
            <v>2.1</v>
          </cell>
          <cell r="F46">
            <v>0.31</v>
          </cell>
          <cell r="G46" t="str">
            <v>A0</v>
          </cell>
          <cell r="H46" t="str">
            <v>- - -</v>
          </cell>
        </row>
        <row r="47">
          <cell r="C47" t="str">
            <v>Kế toán viên trung cấp</v>
          </cell>
          <cell r="D47" t="str">
            <v>06.032</v>
          </cell>
          <cell r="E47">
            <v>1.86</v>
          </cell>
          <cell r="F47">
            <v>0.2</v>
          </cell>
          <cell r="G47" t="str">
            <v>B</v>
          </cell>
          <cell r="H47" t="str">
            <v>- - -</v>
          </cell>
        </row>
        <row r="48">
          <cell r="C48" t="str">
            <v>Lưu trữ viên</v>
          </cell>
          <cell r="D48" t="str">
            <v>02.014</v>
          </cell>
          <cell r="E48">
            <v>2.34</v>
          </cell>
          <cell r="F48">
            <v>0.33</v>
          </cell>
          <cell r="G48" t="str">
            <v>A1</v>
          </cell>
          <cell r="H48" t="str">
            <v>- - -</v>
          </cell>
        </row>
        <row r="49">
          <cell r="C49" t="str">
            <v>Lưu trữ viên (cao đẳng)</v>
          </cell>
          <cell r="D49" t="str">
            <v>02a.014</v>
          </cell>
          <cell r="E49">
            <v>2.1</v>
          </cell>
          <cell r="F49">
            <v>0.31</v>
          </cell>
          <cell r="G49" t="str">
            <v>A0</v>
          </cell>
          <cell r="H49" t="str">
            <v>- - -</v>
          </cell>
        </row>
        <row r="50">
          <cell r="C50" t="str">
            <v>Lưu trữ viên trung cấp</v>
          </cell>
          <cell r="D50" t="str">
            <v>02.015</v>
          </cell>
          <cell r="E50">
            <v>1.86</v>
          </cell>
          <cell r="F50">
            <v>0.2</v>
          </cell>
          <cell r="G50" t="str">
            <v>B</v>
          </cell>
          <cell r="H50" t="str">
            <v>- - -</v>
          </cell>
        </row>
        <row r="51">
          <cell r="C51" t="str">
            <v>Kỹ Thuật viên đánh máy</v>
          </cell>
          <cell r="D51" t="str">
            <v>01.005</v>
          </cell>
          <cell r="E51">
            <v>2.0499999999999998</v>
          </cell>
          <cell r="F51">
            <v>0.18</v>
          </cell>
          <cell r="G51" t="str">
            <v>C</v>
          </cell>
          <cell r="H51" t="str">
            <v>Nhân viên</v>
          </cell>
        </row>
        <row r="52">
          <cell r="C52" t="str">
            <v>Nhân viên đánh máy</v>
          </cell>
          <cell r="D52" t="str">
            <v>01.006</v>
          </cell>
          <cell r="E52">
            <v>1.5</v>
          </cell>
          <cell r="F52">
            <v>0.18</v>
          </cell>
          <cell r="G52" t="str">
            <v>C</v>
          </cell>
          <cell r="H52" t="str">
            <v>Nhân viên</v>
          </cell>
        </row>
        <row r="53">
          <cell r="C53" t="str">
            <v>Nhân viên kỹ thuật</v>
          </cell>
          <cell r="D53" t="str">
            <v>01.007</v>
          </cell>
          <cell r="E53">
            <v>1.65</v>
          </cell>
          <cell r="F53">
            <v>0.18</v>
          </cell>
          <cell r="G53" t="str">
            <v>C</v>
          </cell>
          <cell r="H53" t="str">
            <v>Nhân viên</v>
          </cell>
        </row>
        <row r="54">
          <cell r="C54" t="str">
            <v>Nhân viên văn thư</v>
          </cell>
          <cell r="D54" t="str">
            <v>01.008</v>
          </cell>
          <cell r="E54">
            <v>1.35</v>
          </cell>
          <cell r="F54">
            <v>0.18</v>
          </cell>
          <cell r="G54" t="str">
            <v>C</v>
          </cell>
          <cell r="H54" t="str">
            <v>Nhân viên</v>
          </cell>
        </row>
        <row r="55">
          <cell r="C55" t="str">
            <v>Nhân viên phục vụ</v>
          </cell>
          <cell r="D55" t="str">
            <v>01.009</v>
          </cell>
          <cell r="E55">
            <v>1</v>
          </cell>
          <cell r="F55">
            <v>0.18</v>
          </cell>
          <cell r="G55" t="str">
            <v>C</v>
          </cell>
          <cell r="H55" t="str">
            <v>Nhân viên</v>
          </cell>
        </row>
        <row r="56">
          <cell r="C56" t="str">
            <v>Lái xe cơ quan</v>
          </cell>
          <cell r="D56" t="str">
            <v>01.010</v>
          </cell>
          <cell r="E56">
            <v>2.0499999999999998</v>
          </cell>
          <cell r="F56">
            <v>0.18</v>
          </cell>
          <cell r="G56" t="str">
            <v>C</v>
          </cell>
          <cell r="H56" t="str">
            <v>Nhân viên</v>
          </cell>
        </row>
        <row r="57">
          <cell r="C57" t="str">
            <v>Nhân viên bảo vệ</v>
          </cell>
          <cell r="D57" t="str">
            <v>01.011</v>
          </cell>
          <cell r="E57">
            <v>1.5</v>
          </cell>
          <cell r="F57">
            <v>0.18</v>
          </cell>
          <cell r="G57" t="str">
            <v>C</v>
          </cell>
          <cell r="H57" t="str">
            <v>Nhân viên</v>
          </cell>
        </row>
        <row r="58">
          <cell r="C58" t="str">
            <v>Thủ kho bảo quản</v>
          </cell>
          <cell r="D58" t="str">
            <v>19.185</v>
          </cell>
          <cell r="E58">
            <v>1.65</v>
          </cell>
          <cell r="F58">
            <v>0.18</v>
          </cell>
          <cell r="G58" t="str">
            <v>C</v>
          </cell>
          <cell r="H58" t="str">
            <v>Nhân viên</v>
          </cell>
        </row>
        <row r="59">
          <cell r="C59" t="str">
            <v>Thủ quỹ</v>
          </cell>
          <cell r="D59" t="str">
            <v>06.035</v>
          </cell>
          <cell r="E59">
            <v>1.5</v>
          </cell>
          <cell r="F59">
            <v>0.18</v>
          </cell>
          <cell r="G59" t="str">
            <v>C</v>
          </cell>
          <cell r="H59" t="str">
            <v>Nhân viên</v>
          </cell>
        </row>
        <row r="61">
          <cell r="C61" t="str">
            <v>CHỨC VỤ</v>
          </cell>
          <cell r="D61" t="str">
            <v>PC CV</v>
          </cell>
        </row>
        <row r="62">
          <cell r="C62" t="str">
            <v>Giám đốc Học viện</v>
          </cell>
          <cell r="D62">
            <v>1.25</v>
          </cell>
        </row>
        <row r="63">
          <cell r="C63" t="str">
            <v>Phó Giám đốc Học viện</v>
          </cell>
          <cell r="D63">
            <v>1.1000000000000001</v>
          </cell>
        </row>
        <row r="64">
          <cell r="C64" t="str">
            <v>Nguyên Phó Giám đốc Học viện</v>
          </cell>
          <cell r="D64">
            <v>1.1000000000000001</v>
          </cell>
        </row>
        <row r="65">
          <cell r="C65" t="str">
            <v>Trưởng khoa</v>
          </cell>
          <cell r="D65" t="str">
            <v>1,0</v>
          </cell>
        </row>
        <row r="66">
          <cell r="C66" t="str">
            <v>Nguyên Trưởng khoa</v>
          </cell>
          <cell r="D66" t="str">
            <v>1,0</v>
          </cell>
        </row>
        <row r="67">
          <cell r="C67" t="str">
            <v>Q. Trưởng khoa</v>
          </cell>
          <cell r="D67">
            <v>1</v>
          </cell>
        </row>
        <row r="68">
          <cell r="C68" t="str">
            <v>Nguyên Q. Trưởng khoa</v>
          </cell>
          <cell r="D68">
            <v>1</v>
          </cell>
        </row>
        <row r="69">
          <cell r="C69" t="str">
            <v>Giám đốc phân viện</v>
          </cell>
          <cell r="D69">
            <v>1</v>
          </cell>
        </row>
        <row r="70">
          <cell r="C70" t="str">
            <v>Trưởng ban</v>
          </cell>
          <cell r="D70" t="str">
            <v>1,0</v>
          </cell>
        </row>
        <row r="71">
          <cell r="C71" t="str">
            <v>Nguyên Trưởng ban</v>
          </cell>
          <cell r="D71" t="str">
            <v>1,0</v>
          </cell>
        </row>
        <row r="72">
          <cell r="C72" t="str">
            <v>Tổng Biên tập</v>
          </cell>
          <cell r="D72" t="str">
            <v>1,0</v>
          </cell>
        </row>
        <row r="73">
          <cell r="C73" t="str">
            <v>Viện Trưởng</v>
          </cell>
          <cell r="D73" t="str">
            <v>1,0</v>
          </cell>
        </row>
        <row r="74">
          <cell r="C74" t="str">
            <v>Nguyên Viện Trưởng</v>
          </cell>
          <cell r="D74" t="str">
            <v>1,0</v>
          </cell>
        </row>
        <row r="75">
          <cell r="C75" t="str">
            <v>Giám đốc (cấp vụ)</v>
          </cell>
          <cell r="D75" t="str">
            <v>1,0</v>
          </cell>
        </row>
        <row r="76">
          <cell r="C76" t="str">
            <v>Chánh Văn phòng</v>
          </cell>
          <cell r="D76" t="str">
            <v>1,0</v>
          </cell>
        </row>
        <row r="77">
          <cell r="C77" t="str">
            <v>Phó Trưởng khoa</v>
          </cell>
          <cell r="D77" t="str">
            <v>0,8</v>
          </cell>
        </row>
        <row r="78">
          <cell r="C78" t="str">
            <v>Nguyên Phó Trưởng khoa</v>
          </cell>
          <cell r="D78" t="str">
            <v>0,8</v>
          </cell>
        </row>
        <row r="79">
          <cell r="C79" t="str">
            <v>Phó Trưởng ban</v>
          </cell>
          <cell r="D79" t="str">
            <v>0,8</v>
          </cell>
        </row>
        <row r="80">
          <cell r="C80" t="str">
            <v>Phó Trưởng ban (PT)</v>
          </cell>
          <cell r="D80" t="str">
            <v>0,8</v>
          </cell>
        </row>
        <row r="81">
          <cell r="C81" t="str">
            <v>Nguyên Phó Trưởng ban</v>
          </cell>
          <cell r="D81" t="str">
            <v>0,8</v>
          </cell>
        </row>
        <row r="82">
          <cell r="C82" t="str">
            <v>Phó Tổng biên tập</v>
          </cell>
          <cell r="D82" t="str">
            <v>0,8</v>
          </cell>
        </row>
        <row r="83">
          <cell r="C83" t="str">
            <v>Phó Viện trưởng</v>
          </cell>
          <cell r="D83" t="str">
            <v>0,8</v>
          </cell>
        </row>
        <row r="84">
          <cell r="C84" t="str">
            <v>Nguyên Phó Viện trưởng</v>
          </cell>
          <cell r="D84" t="str">
            <v>0,8</v>
          </cell>
        </row>
        <row r="85">
          <cell r="C85" t="str">
            <v>Phó Giám đốc (cấp vụ)</v>
          </cell>
          <cell r="D85" t="str">
            <v>0,8</v>
          </cell>
        </row>
        <row r="86">
          <cell r="C86" t="str">
            <v>Phó Chánh Văn phòng</v>
          </cell>
          <cell r="D86" t="str">
            <v>0,8</v>
          </cell>
        </row>
        <row r="87">
          <cell r="C87" t="str">
            <v>Giám đốc (cấp phòng)</v>
          </cell>
          <cell r="D87">
            <v>0.6</v>
          </cell>
        </row>
        <row r="88">
          <cell r="C88" t="str">
            <v>Chánh Văn phòng (cấp phòng)</v>
          </cell>
          <cell r="D88">
            <v>0.6</v>
          </cell>
        </row>
        <row r="89">
          <cell r="C89" t="str">
            <v>Trưởng khoa (cấp phòng)</v>
          </cell>
          <cell r="D89" t="str">
            <v>0,6</v>
          </cell>
        </row>
        <row r="90">
          <cell r="C90" t="str">
            <v>Trưởng phòng</v>
          </cell>
          <cell r="D90" t="str">
            <v>0,6</v>
          </cell>
        </row>
        <row r="91">
          <cell r="C91" t="str">
            <v>Q. Trưởng phòng</v>
          </cell>
          <cell r="D91" t="str">
            <v>0,6</v>
          </cell>
        </row>
        <row r="92">
          <cell r="C92" t="str">
            <v>Trưởng bộ môn</v>
          </cell>
          <cell r="D92" t="str">
            <v>0,6</v>
          </cell>
        </row>
        <row r="93">
          <cell r="C93" t="str">
            <v>Nguyên Trưởng bộ môn</v>
          </cell>
          <cell r="D93" t="str">
            <v>0,6</v>
          </cell>
        </row>
        <row r="94">
          <cell r="C94" t="str">
            <v>Trưởng ban (cấp phòng)</v>
          </cell>
          <cell r="D94" t="str">
            <v>0,6</v>
          </cell>
        </row>
        <row r="95">
          <cell r="C95" t="str">
            <v>Chủ nhiệm (cấp phòng)</v>
          </cell>
          <cell r="D95" t="str">
            <v>0,6</v>
          </cell>
        </row>
        <row r="96">
          <cell r="C96" t="str">
            <v>Đội Trưởng (cấp phòng)</v>
          </cell>
          <cell r="D96" t="str">
            <v>0,6</v>
          </cell>
        </row>
        <row r="97">
          <cell r="C97" t="str">
            <v>Phó Trưởng phòng</v>
          </cell>
          <cell r="D97" t="str">
            <v>0,4</v>
          </cell>
        </row>
        <row r="98">
          <cell r="C98" t="str">
            <v>Phó Trưởng phòng (PT)</v>
          </cell>
          <cell r="D98" t="str">
            <v>0,4</v>
          </cell>
        </row>
        <row r="99">
          <cell r="C99" t="str">
            <v>Phó Trưởng bộ môn</v>
          </cell>
          <cell r="D99" t="str">
            <v>0,4</v>
          </cell>
        </row>
        <row r="100">
          <cell r="C100" t="str">
            <v>Nguyên Phó Trưởng bộ môn</v>
          </cell>
          <cell r="D100" t="str">
            <v>0,4</v>
          </cell>
        </row>
        <row r="101">
          <cell r="C101" t="str">
            <v>Phó Trưởng ban (cấp phòng)</v>
          </cell>
          <cell r="D101" t="str">
            <v>0,4</v>
          </cell>
        </row>
        <row r="102">
          <cell r="C102" t="str">
            <v>Phó Trưởng ban (cấp phòng)</v>
          </cell>
          <cell r="D102" t="str">
            <v>0,4</v>
          </cell>
        </row>
        <row r="103">
          <cell r="C103" t="str">
            <v>Phó Chủ nhiệm (cấp phòng)</v>
          </cell>
          <cell r="D103" t="str">
            <v>0,4</v>
          </cell>
        </row>
        <row r="104">
          <cell r="C104" t="str">
            <v>Phó Giám đốc (cấp phòng)</v>
          </cell>
          <cell r="D104" t="str">
            <v>0,4</v>
          </cell>
        </row>
        <row r="105">
          <cell r="C105" t="str">
            <v>Phó Chánh Văn phòng (cấp phòng)</v>
          </cell>
          <cell r="D105" t="str">
            <v>0,4</v>
          </cell>
        </row>
        <row r="106">
          <cell r="C106" t="str">
            <v>Đội Phó (cấp phòng)</v>
          </cell>
          <cell r="D106" t="str">
            <v>0,4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ao1 (2)"/>
      <sheetName val="$-BB1 (2)"/>
      <sheetName val="4. GiaoQĐ-$"/>
      <sheetName val="$-Ds in QĐ"/>
      <sheetName val="$-BB1"/>
      <sheetName val="$-BC1"/>
      <sheetName val="$-TBao1"/>
      <sheetName val="@.DL-New "/>
      <sheetName val="%-TBao2"/>
      <sheetName val="%-BCcao2"/>
      <sheetName val="%-BBan2"/>
      <sheetName val="%-Ds QĐ2"/>
      <sheetName val="DsQĐ PC nhà giáo"/>
      <sheetName val="Giao QĐ - %"/>
      <sheetName val="Ds Huu+Thoi.."/>
      <sheetName val="TH số liệu"/>
      <sheetName val="- DLiêu Gốc -"/>
      <sheetName val="Sheet2"/>
      <sheetName val="CƠ CẤU"/>
      <sheetName val="@.DL-New"/>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C1" t="str">
            <v>NGẠCH</v>
          </cell>
          <cell r="D1" t="str">
            <v>MÃ SỐ</v>
          </cell>
          <cell r="E1" t="str">
            <v>HS bậc 1</v>
          </cell>
          <cell r="F1" t="str">
            <v>BƯỚC</v>
          </cell>
          <cell r="G1" t="str">
            <v>LOẠI</v>
          </cell>
          <cell r="H1" t="str">
            <v>NHÓM</v>
          </cell>
        </row>
        <row r="2">
          <cell r="C2" t="str">
            <v>Giảng viên cao cấp (hạng I)</v>
          </cell>
          <cell r="D2" t="str">
            <v>V.07.01.01</v>
          </cell>
          <cell r="E2">
            <v>6.2</v>
          </cell>
          <cell r="F2">
            <v>0.36</v>
          </cell>
          <cell r="G2" t="str">
            <v>A3</v>
          </cell>
          <cell r="H2" t="str">
            <v>A3.1</v>
          </cell>
        </row>
        <row r="3">
          <cell r="C3" t="str">
            <v>Giảng viên chính (hạng II)</v>
          </cell>
          <cell r="D3" t="str">
            <v>V.07.01.02</v>
          </cell>
          <cell r="E3">
            <v>4.4000000000000004</v>
          </cell>
          <cell r="F3">
            <v>0.34</v>
          </cell>
          <cell r="G3" t="str">
            <v>A2</v>
          </cell>
          <cell r="H3" t="str">
            <v>A2.1</v>
          </cell>
        </row>
        <row r="4">
          <cell r="C4" t="str">
            <v>Giảng viên (hạng III)</v>
          </cell>
          <cell r="D4" t="str">
            <v>V.07.01.03</v>
          </cell>
          <cell r="E4">
            <v>2.34</v>
          </cell>
          <cell r="F4">
            <v>0.33</v>
          </cell>
          <cell r="G4" t="str">
            <v>A1</v>
          </cell>
          <cell r="H4" t="str">
            <v>- - -</v>
          </cell>
        </row>
        <row r="5">
          <cell r="C5" t="str">
            <v>Giảng viên chính</v>
          </cell>
          <cell r="D5" t="str">
            <v>15.110</v>
          </cell>
          <cell r="E5">
            <v>4.4000000000000004</v>
          </cell>
          <cell r="F5">
            <v>0.34</v>
          </cell>
          <cell r="G5" t="str">
            <v>A2</v>
          </cell>
          <cell r="H5" t="str">
            <v>A2.1</v>
          </cell>
        </row>
        <row r="6">
          <cell r="C6" t="str">
            <v xml:space="preserve">Giảng viên </v>
          </cell>
          <cell r="D6" t="str">
            <v>15.111</v>
          </cell>
          <cell r="E6">
            <v>2.34</v>
          </cell>
          <cell r="F6">
            <v>0.33</v>
          </cell>
          <cell r="G6" t="str">
            <v>A1</v>
          </cell>
          <cell r="H6" t="str">
            <v>- - -</v>
          </cell>
        </row>
        <row r="7">
          <cell r="C7" t="str">
            <v>Giáo viên trung học cao cấp</v>
          </cell>
          <cell r="D7" t="str">
            <v>15.112</v>
          </cell>
          <cell r="E7">
            <v>4</v>
          </cell>
          <cell r="F7">
            <v>0.34</v>
          </cell>
          <cell r="G7" t="str">
            <v>A2</v>
          </cell>
          <cell r="H7" t="str">
            <v>A2.2</v>
          </cell>
        </row>
        <row r="8">
          <cell r="C8" t="str">
            <v>Giáo viên trung học</v>
          </cell>
          <cell r="D8" t="str">
            <v>15.113</v>
          </cell>
          <cell r="E8">
            <v>2.34</v>
          </cell>
          <cell r="F8">
            <v>0.33</v>
          </cell>
          <cell r="G8" t="str">
            <v>A1</v>
          </cell>
          <cell r="H8" t="str">
            <v>- - -</v>
          </cell>
        </row>
        <row r="9">
          <cell r="C9" t="str">
            <v>Giáo viên trung học cơ sở chính</v>
          </cell>
          <cell r="D9" t="str">
            <v>15a.201</v>
          </cell>
          <cell r="E9">
            <v>2.34</v>
          </cell>
          <cell r="F9">
            <v>0.33</v>
          </cell>
          <cell r="G9" t="str">
            <v>A1</v>
          </cell>
          <cell r="H9" t="str">
            <v>- - -</v>
          </cell>
        </row>
        <row r="10">
          <cell r="C10" t="str">
            <v>Giáo viên trung học cơ sở</v>
          </cell>
          <cell r="D10" t="str">
            <v>15a.202</v>
          </cell>
          <cell r="E10">
            <v>2.1</v>
          </cell>
          <cell r="F10">
            <v>0.31</v>
          </cell>
          <cell r="G10" t="str">
            <v>A0</v>
          </cell>
          <cell r="H10" t="str">
            <v>- - -</v>
          </cell>
        </row>
        <row r="11">
          <cell r="C11" t="str">
            <v>Nghiên cứu viên cao cấp (hạng I)</v>
          </cell>
          <cell r="D11" t="str">
            <v>V.05.01.01</v>
          </cell>
          <cell r="E11">
            <v>6.2</v>
          </cell>
          <cell r="F11">
            <v>0.36</v>
          </cell>
          <cell r="G11" t="str">
            <v>A3</v>
          </cell>
          <cell r="H11" t="str">
            <v>A3.1</v>
          </cell>
        </row>
        <row r="12">
          <cell r="C12" t="str">
            <v>Nghiên cứu viên chính (hạng II)</v>
          </cell>
          <cell r="D12" t="str">
            <v>V.05.01.02</v>
          </cell>
          <cell r="E12">
            <v>4.4000000000000004</v>
          </cell>
          <cell r="F12">
            <v>0.34</v>
          </cell>
          <cell r="G12" t="str">
            <v>A2</v>
          </cell>
          <cell r="H12" t="str">
            <v>A2.1</v>
          </cell>
        </row>
        <row r="13">
          <cell r="C13" t="str">
            <v>Nghiên cứu viên (hạng III)</v>
          </cell>
          <cell r="D13" t="str">
            <v>V.05.01.03</v>
          </cell>
          <cell r="E13">
            <v>2.34</v>
          </cell>
          <cell r="F13">
            <v>0.33</v>
          </cell>
          <cell r="G13" t="str">
            <v>A1</v>
          </cell>
          <cell r="H13" t="str">
            <v>- - -</v>
          </cell>
        </row>
        <row r="14">
          <cell r="C14" t="str">
            <v>Chuyên viên cao cấp</v>
          </cell>
          <cell r="D14" t="str">
            <v>01.001</v>
          </cell>
          <cell r="E14">
            <v>6.2</v>
          </cell>
          <cell r="F14">
            <v>0.36</v>
          </cell>
          <cell r="G14" t="str">
            <v>A3</v>
          </cell>
          <cell r="H14" t="str">
            <v>A3.1</v>
          </cell>
        </row>
        <row r="15">
          <cell r="C15" t="str">
            <v>Chuyên viên chính</v>
          </cell>
          <cell r="D15" t="str">
            <v>01.002</v>
          </cell>
          <cell r="E15">
            <v>4.4000000000000004</v>
          </cell>
          <cell r="F15">
            <v>0.34</v>
          </cell>
          <cell r="G15" t="str">
            <v>A2</v>
          </cell>
          <cell r="H15" t="str">
            <v>A2.1</v>
          </cell>
        </row>
        <row r="16">
          <cell r="C16" t="str">
            <v>Chuyên viên</v>
          </cell>
          <cell r="D16" t="str">
            <v>01.003</v>
          </cell>
          <cell r="E16">
            <v>2.34</v>
          </cell>
          <cell r="F16">
            <v>0.33</v>
          </cell>
          <cell r="G16" t="str">
            <v>A1</v>
          </cell>
          <cell r="H16" t="str">
            <v>- - -</v>
          </cell>
        </row>
        <row r="17">
          <cell r="C17" t="str">
            <v>Chuyên viên (cao đẳng)</v>
          </cell>
          <cell r="D17" t="str">
            <v>01a.003</v>
          </cell>
          <cell r="E17">
            <v>2.1</v>
          </cell>
          <cell r="F17">
            <v>0.31</v>
          </cell>
          <cell r="G17" t="str">
            <v>A0</v>
          </cell>
          <cell r="H17" t="str">
            <v>- - -</v>
          </cell>
        </row>
        <row r="18">
          <cell r="C18" t="str">
            <v>Cán sự</v>
          </cell>
          <cell r="D18" t="str">
            <v>01.004</v>
          </cell>
          <cell r="E18">
            <v>1.86</v>
          </cell>
          <cell r="F18">
            <v>0.2</v>
          </cell>
          <cell r="G18" t="str">
            <v>B</v>
          </cell>
          <cell r="H18" t="str">
            <v>- - -</v>
          </cell>
        </row>
        <row r="19">
          <cell r="C19" t="str">
            <v>Thanh tra viên cao cấp</v>
          </cell>
          <cell r="D19" t="str">
            <v>04.023</v>
          </cell>
          <cell r="E19">
            <v>6.2</v>
          </cell>
          <cell r="F19">
            <v>0.36</v>
          </cell>
          <cell r="G19" t="str">
            <v>A3</v>
          </cell>
          <cell r="H19" t="str">
            <v>A3.1</v>
          </cell>
        </row>
        <row r="20">
          <cell r="C20" t="str">
            <v>Thanh tra viên chính</v>
          </cell>
          <cell r="D20" t="str">
            <v>04.024</v>
          </cell>
          <cell r="E20">
            <v>4.4000000000000004</v>
          </cell>
          <cell r="F20">
            <v>0.34</v>
          </cell>
          <cell r="G20" t="str">
            <v>A2</v>
          </cell>
          <cell r="H20" t="str">
            <v>A2.1</v>
          </cell>
        </row>
        <row r="21">
          <cell r="C21" t="str">
            <v>Thanh tra viên</v>
          </cell>
          <cell r="D21" t="str">
            <v>04.025</v>
          </cell>
          <cell r="E21">
            <v>2.34</v>
          </cell>
          <cell r="F21">
            <v>0.33</v>
          </cell>
          <cell r="G21" t="str">
            <v>A1</v>
          </cell>
          <cell r="H21" t="str">
            <v>- - -</v>
          </cell>
        </row>
        <row r="22">
          <cell r="C22" t="str">
            <v>Kiểm tra viên</v>
          </cell>
          <cell r="D22" t="str">
            <v>04,025A</v>
          </cell>
          <cell r="E22">
            <v>2.34</v>
          </cell>
          <cell r="F22">
            <v>0.33</v>
          </cell>
          <cell r="G22" t="str">
            <v>A1</v>
          </cell>
          <cell r="H22" t="str">
            <v>- - -</v>
          </cell>
        </row>
        <row r="23">
          <cell r="C23" t="str">
            <v>Thẩm tra viên</v>
          </cell>
          <cell r="D23" t="str">
            <v>03.230</v>
          </cell>
          <cell r="E23">
            <v>2.34</v>
          </cell>
          <cell r="F23">
            <v>0.33</v>
          </cell>
          <cell r="G23" t="str">
            <v>A1</v>
          </cell>
          <cell r="H23" t="str">
            <v>- - -</v>
          </cell>
        </row>
        <row r="24">
          <cell r="C24" t="str">
            <v>Thư viện viên hạng II</v>
          </cell>
          <cell r="D24" t="str">
            <v>V.10.02.05</v>
          </cell>
          <cell r="E24">
            <v>4</v>
          </cell>
          <cell r="F24">
            <v>0.34</v>
          </cell>
          <cell r="G24" t="str">
            <v>A2</v>
          </cell>
          <cell r="H24" t="str">
            <v>A2.2</v>
          </cell>
        </row>
        <row r="25">
          <cell r="C25" t="str">
            <v>Thư viện viên hạng III</v>
          </cell>
          <cell r="D25" t="str">
            <v>V.10.02.06</v>
          </cell>
          <cell r="E25">
            <v>2.34</v>
          </cell>
          <cell r="F25">
            <v>0.33</v>
          </cell>
          <cell r="G25" t="str">
            <v>A1</v>
          </cell>
          <cell r="H25" t="str">
            <v>- - -</v>
          </cell>
        </row>
        <row r="26">
          <cell r="C26" t="str">
            <v>Thư viện viên hạng IV</v>
          </cell>
          <cell r="D26" t="str">
            <v>V.10.02.07</v>
          </cell>
          <cell r="E26">
            <v>1.86</v>
          </cell>
          <cell r="F26">
            <v>0.2</v>
          </cell>
          <cell r="G26" t="str">
            <v>B</v>
          </cell>
          <cell r="H26" t="str">
            <v>- - -</v>
          </cell>
        </row>
        <row r="27">
          <cell r="C27" t="str">
            <v>Thư viện viên (cao đẳng)</v>
          </cell>
          <cell r="D27" t="str">
            <v>17a.170</v>
          </cell>
          <cell r="E27">
            <v>2.1</v>
          </cell>
          <cell r="F27">
            <v>0.31</v>
          </cell>
          <cell r="G27" t="str">
            <v>A0</v>
          </cell>
          <cell r="H27" t="str">
            <v>- - -</v>
          </cell>
        </row>
        <row r="28">
          <cell r="C28" t="str">
            <v>Kỹ sư cao cấp (hạng I)</v>
          </cell>
          <cell r="D28" t="str">
            <v>V.05.02.05</v>
          </cell>
          <cell r="E28">
            <v>6.2</v>
          </cell>
          <cell r="F28">
            <v>0.36</v>
          </cell>
          <cell r="G28" t="str">
            <v>A3</v>
          </cell>
          <cell r="H28" t="str">
            <v>A3.1</v>
          </cell>
        </row>
        <row r="29">
          <cell r="C29" t="str">
            <v>Kỹ sư chính (hạng II)</v>
          </cell>
          <cell r="D29" t="str">
            <v>V.05.02.06</v>
          </cell>
          <cell r="E29">
            <v>4.4000000000000004</v>
          </cell>
          <cell r="F29">
            <v>0.34</v>
          </cell>
          <cell r="G29" t="str">
            <v>A2</v>
          </cell>
          <cell r="H29" t="str">
            <v>A2.1</v>
          </cell>
        </row>
        <row r="30">
          <cell r="C30" t="str">
            <v>Kỹ sư (hạng III)</v>
          </cell>
          <cell r="D30" t="str">
            <v>V.05.02.07</v>
          </cell>
          <cell r="E30">
            <v>2.34</v>
          </cell>
          <cell r="F30">
            <v>0.33</v>
          </cell>
          <cell r="G30" t="str">
            <v>A1</v>
          </cell>
          <cell r="H30" t="str">
            <v>- - -</v>
          </cell>
        </row>
        <row r="31">
          <cell r="C31" t="str">
            <v>Kỹ thuật viên (hạng IV)</v>
          </cell>
          <cell r="D31" t="str">
            <v>V.05.02.08</v>
          </cell>
          <cell r="E31">
            <v>1.86</v>
          </cell>
          <cell r="F31">
            <v>0.2</v>
          </cell>
          <cell r="G31" t="str">
            <v>B</v>
          </cell>
          <cell r="H31" t="str">
            <v>- - -</v>
          </cell>
        </row>
        <row r="32">
          <cell r="C32" t="str">
            <v>Bác sĩ cao cấp (hạng I)</v>
          </cell>
          <cell r="D32" t="str">
            <v>V.08.01.01</v>
          </cell>
          <cell r="E32">
            <v>6.2</v>
          </cell>
          <cell r="F32">
            <v>0.36</v>
          </cell>
          <cell r="G32" t="str">
            <v>A3</v>
          </cell>
          <cell r="H32" t="str">
            <v>A3.1</v>
          </cell>
        </row>
        <row r="33">
          <cell r="C33" t="str">
            <v>Bác sĩ chính (hạng II)</v>
          </cell>
          <cell r="D33" t="str">
            <v>V.08.01.02</v>
          </cell>
          <cell r="E33">
            <v>4.4000000000000004</v>
          </cell>
          <cell r="F33">
            <v>0.34</v>
          </cell>
          <cell r="G33" t="str">
            <v>A2</v>
          </cell>
          <cell r="H33" t="str">
            <v>A2.1</v>
          </cell>
        </row>
        <row r="34">
          <cell r="C34" t="str">
            <v>Bác sĩ (hạng III)</v>
          </cell>
          <cell r="D34" t="str">
            <v>V.08.01.03</v>
          </cell>
          <cell r="E34">
            <v>2.34</v>
          </cell>
          <cell r="F34">
            <v>0.33</v>
          </cell>
          <cell r="G34" t="str">
            <v>A1</v>
          </cell>
          <cell r="H34" t="str">
            <v>- - -</v>
          </cell>
        </row>
        <row r="35">
          <cell r="C35" t="str">
            <v>Y sĩ (hạng IV)</v>
          </cell>
          <cell r="D35" t="str">
            <v>V.08.01.04</v>
          </cell>
          <cell r="E35">
            <v>1.86</v>
          </cell>
          <cell r="F35">
            <v>0.2</v>
          </cell>
          <cell r="G35" t="str">
            <v>B</v>
          </cell>
          <cell r="H35" t="str">
            <v>- - -</v>
          </cell>
        </row>
        <row r="36">
          <cell r="C36" t="str">
            <v>Biên tập viên hạng I</v>
          </cell>
          <cell r="D36" t="str">
            <v>V1.11.01.01</v>
          </cell>
          <cell r="E36">
            <v>6.2</v>
          </cell>
          <cell r="F36">
            <v>0.36</v>
          </cell>
          <cell r="G36" t="str">
            <v>A3</v>
          </cell>
          <cell r="H36" t="str">
            <v>A3.1</v>
          </cell>
        </row>
        <row r="37">
          <cell r="C37" t="str">
            <v>Biên tập viên hạng II</v>
          </cell>
          <cell r="D37" t="str">
            <v>V1.11.01.02</v>
          </cell>
          <cell r="E37">
            <v>4.4000000000000004</v>
          </cell>
          <cell r="F37">
            <v>0.34</v>
          </cell>
          <cell r="G37" t="str">
            <v>A2</v>
          </cell>
          <cell r="H37" t="str">
            <v>A2.1</v>
          </cell>
        </row>
        <row r="38">
          <cell r="C38" t="str">
            <v>Biên tập viên hạng III</v>
          </cell>
          <cell r="D38" t="str">
            <v>V1.11.01.03</v>
          </cell>
          <cell r="E38">
            <v>2.34</v>
          </cell>
          <cell r="F38">
            <v>0.33</v>
          </cell>
          <cell r="G38" t="str">
            <v>A1</v>
          </cell>
          <cell r="H38" t="str">
            <v>- - -</v>
          </cell>
        </row>
        <row r="39">
          <cell r="C39" t="str">
            <v>Phóng viên hạng I</v>
          </cell>
          <cell r="D39" t="str">
            <v>V1.11.01.04</v>
          </cell>
          <cell r="E39">
            <v>6.2</v>
          </cell>
          <cell r="F39">
            <v>0.36</v>
          </cell>
          <cell r="G39" t="str">
            <v>A3</v>
          </cell>
          <cell r="H39" t="str">
            <v>A3.1</v>
          </cell>
        </row>
        <row r="40">
          <cell r="C40" t="str">
            <v>Phóng viên hạng II</v>
          </cell>
          <cell r="D40" t="str">
            <v>V1.11.01.05</v>
          </cell>
          <cell r="E40">
            <v>4.4000000000000004</v>
          </cell>
          <cell r="F40">
            <v>0.34</v>
          </cell>
          <cell r="G40" t="str">
            <v>A2</v>
          </cell>
          <cell r="H40" t="str">
            <v>A2.1</v>
          </cell>
        </row>
        <row r="41">
          <cell r="C41" t="str">
            <v>Phóng viên hạng III</v>
          </cell>
          <cell r="D41" t="str">
            <v>V1.11.01.06</v>
          </cell>
          <cell r="E41">
            <v>2.34</v>
          </cell>
          <cell r="F41">
            <v>0.33</v>
          </cell>
          <cell r="G41" t="str">
            <v>A1</v>
          </cell>
          <cell r="H41" t="str">
            <v>- - -</v>
          </cell>
        </row>
        <row r="42">
          <cell r="C42" t="str">
            <v>Biên tập viên chính</v>
          </cell>
          <cell r="D42" t="str">
            <v>17.140</v>
          </cell>
          <cell r="E42">
            <v>4.4000000000000004</v>
          </cell>
          <cell r="F42">
            <v>0.34</v>
          </cell>
          <cell r="G42" t="str">
            <v>A2</v>
          </cell>
          <cell r="H42" t="str">
            <v>A2.1</v>
          </cell>
        </row>
        <row r="43">
          <cell r="C43" t="str">
            <v>Phóng viên chính</v>
          </cell>
          <cell r="D43" t="str">
            <v>17.143</v>
          </cell>
          <cell r="E43">
            <v>4.4000000000000004</v>
          </cell>
          <cell r="F43">
            <v>0.34</v>
          </cell>
          <cell r="G43" t="str">
            <v>A2</v>
          </cell>
          <cell r="H43" t="str">
            <v>A2.1</v>
          </cell>
        </row>
        <row r="44">
          <cell r="C44" t="str">
            <v>Kế toán viên cao cấp</v>
          </cell>
          <cell r="D44" t="str">
            <v>06.029</v>
          </cell>
          <cell r="E44">
            <v>5.75</v>
          </cell>
          <cell r="F44">
            <v>0.36</v>
          </cell>
          <cell r="G44" t="str">
            <v>A3</v>
          </cell>
          <cell r="H44" t="str">
            <v>A3.2</v>
          </cell>
        </row>
        <row r="45">
          <cell r="C45" t="str">
            <v>Kế toán viên chính</v>
          </cell>
          <cell r="D45" t="str">
            <v>06.030</v>
          </cell>
          <cell r="E45">
            <v>4</v>
          </cell>
          <cell r="F45">
            <v>0.34</v>
          </cell>
          <cell r="G45" t="str">
            <v>A2</v>
          </cell>
          <cell r="H45" t="str">
            <v>A2.2</v>
          </cell>
        </row>
        <row r="46">
          <cell r="C46" t="str">
            <v>Kế toán viên</v>
          </cell>
          <cell r="D46" t="str">
            <v>06.031</v>
          </cell>
          <cell r="E46">
            <v>2.34</v>
          </cell>
          <cell r="F46">
            <v>0.33</v>
          </cell>
          <cell r="G46" t="str">
            <v>A1</v>
          </cell>
          <cell r="H46" t="str">
            <v>- - -</v>
          </cell>
        </row>
        <row r="47">
          <cell r="C47" t="str">
            <v>Kế toán viên (cao đẳng)</v>
          </cell>
          <cell r="D47" t="str">
            <v>06a.031</v>
          </cell>
          <cell r="E47">
            <v>2.1</v>
          </cell>
          <cell r="F47">
            <v>0.31</v>
          </cell>
          <cell r="G47" t="str">
            <v>A0</v>
          </cell>
          <cell r="H47" t="str">
            <v>- - -</v>
          </cell>
        </row>
        <row r="48">
          <cell r="C48" t="str">
            <v>Kế toán viên trung cấp</v>
          </cell>
          <cell r="D48" t="str">
            <v>06.032</v>
          </cell>
          <cell r="E48">
            <v>1.86</v>
          </cell>
          <cell r="F48">
            <v>0.2</v>
          </cell>
          <cell r="G48" t="str">
            <v>B</v>
          </cell>
          <cell r="H48" t="str">
            <v>- - -</v>
          </cell>
        </row>
        <row r="49">
          <cell r="C49" t="str">
            <v>Lưu trữ viên</v>
          </cell>
          <cell r="D49" t="str">
            <v>02.014</v>
          </cell>
          <cell r="E49">
            <v>2.34</v>
          </cell>
          <cell r="F49">
            <v>0.33</v>
          </cell>
          <cell r="G49" t="str">
            <v>A1</v>
          </cell>
          <cell r="H49" t="str">
            <v>- - -</v>
          </cell>
        </row>
        <row r="50">
          <cell r="C50" t="str">
            <v>Lưu trữ viên (cao đẳng)</v>
          </cell>
          <cell r="D50" t="str">
            <v>02a.014</v>
          </cell>
          <cell r="E50">
            <v>2.1</v>
          </cell>
          <cell r="F50">
            <v>0.31</v>
          </cell>
          <cell r="G50" t="str">
            <v>A0</v>
          </cell>
          <cell r="H50" t="str">
            <v>- - -</v>
          </cell>
        </row>
        <row r="51">
          <cell r="C51" t="str">
            <v>Lưu trữ viên trung cấp</v>
          </cell>
          <cell r="D51" t="str">
            <v>02.015</v>
          </cell>
          <cell r="E51">
            <v>1.86</v>
          </cell>
          <cell r="F51">
            <v>0.2</v>
          </cell>
          <cell r="G51" t="str">
            <v>B</v>
          </cell>
          <cell r="H51" t="str">
            <v>- - -</v>
          </cell>
        </row>
        <row r="52">
          <cell r="C52" t="str">
            <v>Kỹ Thuật viên đánh máy</v>
          </cell>
          <cell r="D52" t="str">
            <v>01.005</v>
          </cell>
          <cell r="E52">
            <v>2.0499999999999998</v>
          </cell>
          <cell r="F52">
            <v>0.18</v>
          </cell>
          <cell r="G52" t="str">
            <v>C</v>
          </cell>
          <cell r="H52" t="str">
            <v>Nhân viên</v>
          </cell>
        </row>
        <row r="53">
          <cell r="C53" t="str">
            <v>Nhân viên đánh máy</v>
          </cell>
          <cell r="D53" t="str">
            <v>01.006</v>
          </cell>
          <cell r="E53">
            <v>1.5</v>
          </cell>
          <cell r="F53">
            <v>0.18</v>
          </cell>
          <cell r="G53" t="str">
            <v>C</v>
          </cell>
          <cell r="H53" t="str">
            <v>Nhân viên</v>
          </cell>
        </row>
        <row r="54">
          <cell r="C54" t="str">
            <v>Nhân viên kỹ thuật</v>
          </cell>
          <cell r="D54" t="str">
            <v>01.007</v>
          </cell>
          <cell r="E54">
            <v>1.65</v>
          </cell>
          <cell r="F54">
            <v>0.18</v>
          </cell>
          <cell r="G54" t="str">
            <v>C</v>
          </cell>
          <cell r="H54" t="str">
            <v>Nhân viên</v>
          </cell>
        </row>
        <row r="55">
          <cell r="C55" t="str">
            <v>Nhân viên văn thư</v>
          </cell>
          <cell r="D55" t="str">
            <v>01.008</v>
          </cell>
          <cell r="E55">
            <v>1.35</v>
          </cell>
          <cell r="F55">
            <v>0.18</v>
          </cell>
          <cell r="G55" t="str">
            <v>C</v>
          </cell>
          <cell r="H55" t="str">
            <v>Nhân viên</v>
          </cell>
        </row>
        <row r="56">
          <cell r="C56" t="str">
            <v>Nhân viên phục vụ</v>
          </cell>
          <cell r="D56" t="str">
            <v>01.009</v>
          </cell>
          <cell r="E56">
            <v>1</v>
          </cell>
          <cell r="F56">
            <v>0.18</v>
          </cell>
          <cell r="G56" t="str">
            <v>C</v>
          </cell>
          <cell r="H56" t="str">
            <v>Nhân viên</v>
          </cell>
        </row>
        <row r="57">
          <cell r="C57" t="str">
            <v>Lái xe cơ quan</v>
          </cell>
          <cell r="D57" t="str">
            <v>01.010</v>
          </cell>
          <cell r="E57">
            <v>2.0499999999999998</v>
          </cell>
          <cell r="F57">
            <v>0.18</v>
          </cell>
          <cell r="G57" t="str">
            <v>C</v>
          </cell>
          <cell r="H57" t="str">
            <v>Nhân viên</v>
          </cell>
        </row>
        <row r="58">
          <cell r="C58" t="str">
            <v>Nhân viên bảo vệ</v>
          </cell>
          <cell r="D58" t="str">
            <v>01.011</v>
          </cell>
          <cell r="E58">
            <v>1.5</v>
          </cell>
          <cell r="F58">
            <v>0.18</v>
          </cell>
          <cell r="G58" t="str">
            <v>C</v>
          </cell>
          <cell r="H58" t="str">
            <v>Nhân viên</v>
          </cell>
        </row>
        <row r="59">
          <cell r="C59" t="str">
            <v>Thủ kho bảo quản</v>
          </cell>
          <cell r="D59" t="str">
            <v>19.185</v>
          </cell>
          <cell r="E59">
            <v>1.65</v>
          </cell>
          <cell r="F59">
            <v>0.18</v>
          </cell>
          <cell r="G59" t="str">
            <v>C</v>
          </cell>
          <cell r="H59" t="str">
            <v>Nhân viên</v>
          </cell>
        </row>
        <row r="60">
          <cell r="C60" t="str">
            <v>Thủ quỹ</v>
          </cell>
          <cell r="D60" t="str">
            <v>06.035</v>
          </cell>
          <cell r="E60">
            <v>1.5</v>
          </cell>
          <cell r="F60">
            <v>0.18</v>
          </cell>
          <cell r="G60" t="str">
            <v>C</v>
          </cell>
          <cell r="H60" t="str">
            <v>Nhân viên</v>
          </cell>
        </row>
        <row r="62">
          <cell r="C62" t="str">
            <v>CHỨC VỤ</v>
          </cell>
          <cell r="D62" t="str">
            <v>PC CV</v>
          </cell>
        </row>
        <row r="63">
          <cell r="C63" t="str">
            <v>Giám đốc Học viện</v>
          </cell>
          <cell r="D63">
            <v>1.25</v>
          </cell>
        </row>
        <row r="64">
          <cell r="C64" t="str">
            <v>Phó Giám đốc Học viện</v>
          </cell>
          <cell r="D64">
            <v>1.1000000000000001</v>
          </cell>
        </row>
        <row r="65">
          <cell r="C65" t="str">
            <v>Nguyên Phó Giám đốc Học viện</v>
          </cell>
          <cell r="D65">
            <v>1.1000000000000001</v>
          </cell>
        </row>
        <row r="66">
          <cell r="C66" t="str">
            <v>Trưởng khoa</v>
          </cell>
          <cell r="D66">
            <v>1</v>
          </cell>
        </row>
        <row r="67">
          <cell r="C67" t="str">
            <v>Nguyên Trưởng khoa</v>
          </cell>
          <cell r="D67">
            <v>1</v>
          </cell>
        </row>
        <row r="68">
          <cell r="C68" t="str">
            <v>Q. Trưởng khoa</v>
          </cell>
          <cell r="D68">
            <v>1</v>
          </cell>
        </row>
        <row r="69">
          <cell r="C69" t="str">
            <v>Nguyên Q. Trưởng khoa</v>
          </cell>
          <cell r="D69">
            <v>1</v>
          </cell>
        </row>
        <row r="70">
          <cell r="C70" t="str">
            <v>Giám đốc phân viện</v>
          </cell>
          <cell r="D70">
            <v>1</v>
          </cell>
        </row>
        <row r="71">
          <cell r="C71" t="str">
            <v>Trưởng ban</v>
          </cell>
          <cell r="D71">
            <v>1</v>
          </cell>
        </row>
        <row r="72">
          <cell r="C72" t="str">
            <v>Nguyên Trưởng ban</v>
          </cell>
          <cell r="D72">
            <v>1</v>
          </cell>
        </row>
        <row r="73">
          <cell r="C73" t="str">
            <v>Tổng Biên tập</v>
          </cell>
          <cell r="D73">
            <v>1</v>
          </cell>
        </row>
        <row r="74">
          <cell r="C74" t="str">
            <v>Viện Trưởng</v>
          </cell>
          <cell r="D74">
            <v>1</v>
          </cell>
        </row>
        <row r="75">
          <cell r="C75" t="str">
            <v>Nguyên Viện Trưởng</v>
          </cell>
          <cell r="D75">
            <v>1</v>
          </cell>
        </row>
        <row r="76">
          <cell r="C76" t="str">
            <v>Giám đốc (cấp vụ)</v>
          </cell>
          <cell r="D76">
            <v>1</v>
          </cell>
        </row>
        <row r="77">
          <cell r="C77" t="str">
            <v>Chánh Văn phòng</v>
          </cell>
          <cell r="D77">
            <v>1</v>
          </cell>
        </row>
        <row r="78">
          <cell r="C78" t="str">
            <v>Phó Trưởng khoa</v>
          </cell>
          <cell r="D78">
            <v>0.8</v>
          </cell>
        </row>
        <row r="79">
          <cell r="C79" t="str">
            <v>Nguyên Phó Trưởng khoa</v>
          </cell>
          <cell r="D79">
            <v>0.8</v>
          </cell>
        </row>
        <row r="80">
          <cell r="C80" t="str">
            <v>Phó Trưởng ban</v>
          </cell>
          <cell r="D80">
            <v>0.8</v>
          </cell>
        </row>
        <row r="81">
          <cell r="C81" t="str">
            <v>Phó Trưởng ban (PT)</v>
          </cell>
          <cell r="D81">
            <v>0.8</v>
          </cell>
        </row>
        <row r="82">
          <cell r="C82" t="str">
            <v>Nguyên Phó Trưởng ban</v>
          </cell>
          <cell r="D82">
            <v>0.8</v>
          </cell>
        </row>
        <row r="83">
          <cell r="C83" t="str">
            <v>Phó Tổng biên tập</v>
          </cell>
          <cell r="D83">
            <v>0.8</v>
          </cell>
        </row>
        <row r="84">
          <cell r="C84" t="str">
            <v>Phó Viện trưởng</v>
          </cell>
          <cell r="D84">
            <v>0.8</v>
          </cell>
        </row>
        <row r="85">
          <cell r="C85" t="str">
            <v>Nguyên Phó Viện trưởng</v>
          </cell>
          <cell r="D85">
            <v>0.8</v>
          </cell>
        </row>
        <row r="86">
          <cell r="C86" t="str">
            <v>Phó Giám đốc (cấp vụ)</v>
          </cell>
          <cell r="D86">
            <v>0.8</v>
          </cell>
        </row>
        <row r="87">
          <cell r="C87" t="str">
            <v>Phó Chánh Văn phòng</v>
          </cell>
          <cell r="D87">
            <v>0.8</v>
          </cell>
        </row>
        <row r="88">
          <cell r="C88" t="str">
            <v>Giám đốc (cấp phòng)</v>
          </cell>
          <cell r="D88">
            <v>0.6</v>
          </cell>
        </row>
        <row r="89">
          <cell r="C89" t="str">
            <v>Chánh Văn phòng (cấp phòng)</v>
          </cell>
          <cell r="D89">
            <v>0.6</v>
          </cell>
        </row>
        <row r="90">
          <cell r="C90" t="str">
            <v>Trưởng khoa (cấp phòng)</v>
          </cell>
          <cell r="D90">
            <v>0.6</v>
          </cell>
        </row>
        <row r="91">
          <cell r="C91" t="str">
            <v>Trưởng phòng</v>
          </cell>
          <cell r="D91">
            <v>0.6</v>
          </cell>
        </row>
        <row r="92">
          <cell r="C92" t="str">
            <v>Q. Trưởng phòng</v>
          </cell>
          <cell r="D92">
            <v>0.6</v>
          </cell>
        </row>
        <row r="93">
          <cell r="C93" t="str">
            <v>Trưởng bộ môn</v>
          </cell>
          <cell r="D93">
            <v>0.6</v>
          </cell>
        </row>
        <row r="94">
          <cell r="C94" t="str">
            <v>Nguyên Trưởng bộ môn</v>
          </cell>
          <cell r="D94">
            <v>0.6</v>
          </cell>
        </row>
        <row r="95">
          <cell r="C95" t="str">
            <v>Trưởng ban (cấp phòng)</v>
          </cell>
          <cell r="D95">
            <v>0.6</v>
          </cell>
        </row>
        <row r="96">
          <cell r="C96" t="str">
            <v>Chủ nhiệm (cấp phòng)</v>
          </cell>
          <cell r="D96">
            <v>0.6</v>
          </cell>
        </row>
        <row r="97">
          <cell r="C97" t="str">
            <v>Đội Trưởng (cấp phòng)</v>
          </cell>
          <cell r="D97">
            <v>0.6</v>
          </cell>
        </row>
        <row r="98">
          <cell r="C98" t="str">
            <v>Phó Trưởng phòng</v>
          </cell>
          <cell r="D98">
            <v>0.4</v>
          </cell>
        </row>
        <row r="99">
          <cell r="C99" t="str">
            <v>Phó Trưởng phòng (PT)</v>
          </cell>
          <cell r="D99">
            <v>0.4</v>
          </cell>
        </row>
        <row r="100">
          <cell r="C100" t="str">
            <v>Phó Trưởng bộ môn</v>
          </cell>
          <cell r="D100">
            <v>0.4</v>
          </cell>
        </row>
        <row r="101">
          <cell r="C101" t="str">
            <v>Nguyên Phó Trưởng bộ môn</v>
          </cell>
          <cell r="D101">
            <v>0.4</v>
          </cell>
        </row>
        <row r="102">
          <cell r="C102" t="str">
            <v>Phó Trưởng ban (cấp phòng)</v>
          </cell>
          <cell r="D102">
            <v>0.4</v>
          </cell>
        </row>
        <row r="103">
          <cell r="C103" t="str">
            <v>Phó Trưởng ban (cấp phòng)</v>
          </cell>
          <cell r="D103">
            <v>0.4</v>
          </cell>
        </row>
        <row r="104">
          <cell r="C104" t="str">
            <v>Phó Chủ nhiệm (cấp phòng)</v>
          </cell>
          <cell r="D104">
            <v>0.4</v>
          </cell>
        </row>
        <row r="105">
          <cell r="C105" t="str">
            <v>Phó Giám đốc (cấp phòng)</v>
          </cell>
          <cell r="D105">
            <v>0.4</v>
          </cell>
        </row>
        <row r="106">
          <cell r="C106" t="str">
            <v>Phó Chánh Văn phòng (cấp phòng)</v>
          </cell>
          <cell r="D106">
            <v>0.4</v>
          </cell>
        </row>
        <row r="107">
          <cell r="C107" t="str">
            <v>Đội Phó (cấp phòng)</v>
          </cell>
          <cell r="D107">
            <v>0.4</v>
          </cell>
        </row>
        <row r="115">
          <cell r="C115" t="str">
            <v>Bác sĩ cao cấp</v>
          </cell>
          <cell r="D115" t="str">
            <v>16.116</v>
          </cell>
          <cell r="E115">
            <v>6.2</v>
          </cell>
          <cell r="F115">
            <v>0.36</v>
          </cell>
          <cell r="G115" t="str">
            <v>A3</v>
          </cell>
          <cell r="H115" t="str">
            <v>A3.1</v>
          </cell>
        </row>
        <row r="116">
          <cell r="C116" t="str">
            <v>Bác sĩ chính</v>
          </cell>
          <cell r="D116" t="str">
            <v xml:space="preserve"> </v>
          </cell>
          <cell r="E116">
            <v>4.4000000000000004</v>
          </cell>
          <cell r="F116">
            <v>0.34</v>
          </cell>
          <cell r="G116" t="str">
            <v>A2</v>
          </cell>
          <cell r="H116" t="str">
            <v>A2.1</v>
          </cell>
        </row>
        <row r="117">
          <cell r="C117" t="str">
            <v>Bác sĩ</v>
          </cell>
          <cell r="D117" t="str">
            <v>16.118</v>
          </cell>
          <cell r="E117">
            <v>2.34</v>
          </cell>
          <cell r="F117">
            <v>0.33</v>
          </cell>
          <cell r="G117" t="str">
            <v>A1</v>
          </cell>
          <cell r="H117" t="str">
            <v>- - -</v>
          </cell>
        </row>
        <row r="118">
          <cell r="C118" t="str">
            <v>Y sĩ</v>
          </cell>
          <cell r="D118" t="str">
            <v>16.119</v>
          </cell>
          <cell r="E118">
            <v>1.86</v>
          </cell>
          <cell r="F118">
            <v>0.2</v>
          </cell>
          <cell r="G118" t="str">
            <v>B</v>
          </cell>
          <cell r="H118" t="str">
            <v>- - -</v>
          </cell>
        </row>
        <row r="119">
          <cell r="C119" t="str">
            <v>Biên tập viên cao cấp</v>
          </cell>
          <cell r="D119" t="str">
            <v>17.139</v>
          </cell>
          <cell r="E119">
            <v>6.2</v>
          </cell>
          <cell r="F119">
            <v>0.36</v>
          </cell>
          <cell r="G119" t="str">
            <v>A3</v>
          </cell>
          <cell r="H119" t="str">
            <v>A3.1</v>
          </cell>
        </row>
        <row r="120">
          <cell r="C120" t="str">
            <v>Biên tập viên</v>
          </cell>
          <cell r="D120" t="str">
            <v>17.141</v>
          </cell>
          <cell r="E120">
            <v>2.34</v>
          </cell>
          <cell r="F120">
            <v>0.33</v>
          </cell>
          <cell r="G120" t="str">
            <v>A1</v>
          </cell>
          <cell r="H120" t="str">
            <v>- - -</v>
          </cell>
        </row>
        <row r="121">
          <cell r="C121" t="str">
            <v>Phóng viên cao cấp</v>
          </cell>
          <cell r="D121" t="str">
            <v>17.142</v>
          </cell>
          <cell r="E121">
            <v>6.2</v>
          </cell>
          <cell r="F121">
            <v>0.36</v>
          </cell>
          <cell r="G121" t="str">
            <v>A3</v>
          </cell>
          <cell r="H121" t="str">
            <v>A3.1</v>
          </cell>
        </row>
        <row r="122">
          <cell r="C122" t="str">
            <v>Phóng viên</v>
          </cell>
          <cell r="D122" t="str">
            <v>17.144</v>
          </cell>
          <cell r="E122">
            <v>2.34</v>
          </cell>
          <cell r="F122">
            <v>0.33</v>
          </cell>
          <cell r="G122" t="str">
            <v>A1</v>
          </cell>
          <cell r="H122" t="str">
            <v>- - -</v>
          </cell>
        </row>
        <row r="124">
          <cell r="C124" t="str">
            <v>Thư viện viên chính</v>
          </cell>
          <cell r="D124" t="str">
            <v>17.169</v>
          </cell>
          <cell r="E124">
            <v>4</v>
          </cell>
          <cell r="F124">
            <v>0.34</v>
          </cell>
          <cell r="G124" t="str">
            <v>A2</v>
          </cell>
          <cell r="H124" t="str">
            <v>A2.2</v>
          </cell>
        </row>
        <row r="125">
          <cell r="C125" t="str">
            <v>Thư viện viên</v>
          </cell>
          <cell r="D125" t="str">
            <v>17.170</v>
          </cell>
          <cell r="E125">
            <v>2.34</v>
          </cell>
          <cell r="F125">
            <v>0.33</v>
          </cell>
          <cell r="G125" t="str">
            <v>A1</v>
          </cell>
          <cell r="H125" t="str">
            <v>- - -</v>
          </cell>
        </row>
        <row r="126">
          <cell r="C126" t="str">
            <v>Thư viện viên trung cấp</v>
          </cell>
          <cell r="D126" t="str">
            <v>17.171</v>
          </cell>
          <cell r="E126">
            <v>1.86</v>
          </cell>
          <cell r="F126">
            <v>0.2</v>
          </cell>
          <cell r="G126" t="str">
            <v>B</v>
          </cell>
          <cell r="H126" t="str">
            <v>- - -</v>
          </cell>
        </row>
      </sheetData>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DL (2)"/>
      <sheetName val="4.GiaoQĐ-$"/>
      <sheetName val="QĐ=$"/>
      <sheetName val="TTr=$"/>
      <sheetName val="TB=$ "/>
      <sheetName val="@@ DL"/>
      <sheetName val="TB--%"/>
      <sheetName val="TTr--%"/>
      <sheetName val="QĐ - %"/>
      <sheetName val="Giao QĐ - %"/>
      <sheetName val="DS Hưu 2015"/>
      <sheetName val="TH số liệu"/>
      <sheetName val="CƠ CẤU"/>
      <sheetName val="- DLiêu Gốc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
          <cell r="B1" t="str">
            <v>NGẠCH</v>
          </cell>
          <cell r="C1" t="str">
            <v>MÃ SỐ</v>
          </cell>
          <cell r="D1" t="str">
            <v>HS bậc 1</v>
          </cell>
          <cell r="E1" t="str">
            <v>BƯỚC</v>
          </cell>
        </row>
        <row r="2">
          <cell r="B2" t="str">
            <v>Giảng viên cao cấp</v>
          </cell>
          <cell r="C2" t="str">
            <v>15.109</v>
          </cell>
          <cell r="D2">
            <v>6.2</v>
          </cell>
          <cell r="E2">
            <v>0.36</v>
          </cell>
          <cell r="F2" t="str">
            <v>A3</v>
          </cell>
          <cell r="G2" t="str">
            <v>A3.1</v>
          </cell>
        </row>
        <row r="3">
          <cell r="B3" t="str">
            <v>Giảng viên chính</v>
          </cell>
          <cell r="C3" t="str">
            <v>15.110</v>
          </cell>
          <cell r="D3">
            <v>4.4000000000000004</v>
          </cell>
          <cell r="E3">
            <v>0.34</v>
          </cell>
          <cell r="F3" t="str">
            <v>A2</v>
          </cell>
          <cell r="G3" t="str">
            <v>A2.1</v>
          </cell>
        </row>
        <row r="4">
          <cell r="B4" t="str">
            <v>Giảng viên</v>
          </cell>
          <cell r="C4" t="str">
            <v>15.111</v>
          </cell>
          <cell r="D4">
            <v>2.34</v>
          </cell>
          <cell r="E4">
            <v>0.33</v>
          </cell>
          <cell r="F4" t="str">
            <v>A1</v>
          </cell>
          <cell r="G4" t="str">
            <v>- - -</v>
          </cell>
        </row>
        <row r="5">
          <cell r="B5" t="str">
            <v>Giáo viên trung học cao cấp</v>
          </cell>
          <cell r="C5" t="str">
            <v>15.112</v>
          </cell>
          <cell r="D5">
            <v>4</v>
          </cell>
          <cell r="E5">
            <v>0.34</v>
          </cell>
          <cell r="F5" t="str">
            <v>A2</v>
          </cell>
          <cell r="G5" t="str">
            <v>A2.2</v>
          </cell>
        </row>
        <row r="6">
          <cell r="B6" t="str">
            <v>Giáo viên trung học</v>
          </cell>
          <cell r="C6" t="str">
            <v>15.113</v>
          </cell>
          <cell r="D6">
            <v>2.34</v>
          </cell>
          <cell r="E6">
            <v>0.33</v>
          </cell>
          <cell r="F6" t="str">
            <v>A1</v>
          </cell>
          <cell r="G6" t="str">
            <v>- - -</v>
          </cell>
        </row>
        <row r="7">
          <cell r="B7" t="str">
            <v>Giáo viên trung học cơ sở chính</v>
          </cell>
          <cell r="C7" t="str">
            <v>15a.201</v>
          </cell>
          <cell r="D7">
            <v>2.34</v>
          </cell>
          <cell r="E7">
            <v>0.33</v>
          </cell>
          <cell r="F7" t="str">
            <v>A1</v>
          </cell>
          <cell r="G7" t="str">
            <v>- - -</v>
          </cell>
        </row>
        <row r="8">
          <cell r="B8" t="str">
            <v>Giáo viên trung học cơ sở</v>
          </cell>
          <cell r="C8" t="str">
            <v>15a.202</v>
          </cell>
          <cell r="D8">
            <v>2.1</v>
          </cell>
          <cell r="E8">
            <v>0.31</v>
          </cell>
          <cell r="F8" t="str">
            <v>A0</v>
          </cell>
          <cell r="G8" t="str">
            <v>- - -</v>
          </cell>
        </row>
        <row r="9">
          <cell r="B9" t="str">
            <v>Nghiên cứu viên cao cấp</v>
          </cell>
          <cell r="C9" t="str">
            <v>13.090</v>
          </cell>
          <cell r="D9">
            <v>6.2</v>
          </cell>
          <cell r="E9">
            <v>0.36</v>
          </cell>
          <cell r="F9" t="str">
            <v>A3</v>
          </cell>
          <cell r="G9" t="str">
            <v>A3.1</v>
          </cell>
        </row>
        <row r="10">
          <cell r="B10" t="str">
            <v>Nghiên cứu viên chính</v>
          </cell>
          <cell r="C10" t="str">
            <v>13.091</v>
          </cell>
          <cell r="D10">
            <v>4.4000000000000004</v>
          </cell>
          <cell r="E10">
            <v>0.34</v>
          </cell>
          <cell r="F10" t="str">
            <v>A2</v>
          </cell>
          <cell r="G10" t="str">
            <v>A2.1</v>
          </cell>
        </row>
        <row r="11">
          <cell r="B11" t="str">
            <v>Nghiên cứu viên</v>
          </cell>
          <cell r="C11" t="str">
            <v>13.092</v>
          </cell>
          <cell r="D11">
            <v>2.34</v>
          </cell>
          <cell r="E11">
            <v>0.33</v>
          </cell>
          <cell r="F11" t="str">
            <v>A1</v>
          </cell>
          <cell r="G11" t="str">
            <v>- - -</v>
          </cell>
        </row>
        <row r="12">
          <cell r="B12" t="str">
            <v>Chuyên viên cao cấp</v>
          </cell>
          <cell r="C12" t="str">
            <v>01.001</v>
          </cell>
          <cell r="D12">
            <v>6.2</v>
          </cell>
          <cell r="E12">
            <v>0.36</v>
          </cell>
          <cell r="F12" t="str">
            <v>A3</v>
          </cell>
          <cell r="G12" t="str">
            <v>A3.1</v>
          </cell>
        </row>
        <row r="13">
          <cell r="B13" t="str">
            <v>Chuyên viên chính</v>
          </cell>
          <cell r="C13" t="str">
            <v>01.002</v>
          </cell>
          <cell r="D13">
            <v>4.4000000000000004</v>
          </cell>
          <cell r="E13">
            <v>0.34</v>
          </cell>
          <cell r="F13" t="str">
            <v>A2</v>
          </cell>
          <cell r="G13" t="str">
            <v>A2.1</v>
          </cell>
        </row>
        <row r="14">
          <cell r="B14" t="str">
            <v>Chuyên viên</v>
          </cell>
          <cell r="C14" t="str">
            <v>01.003</v>
          </cell>
          <cell r="D14">
            <v>2.34</v>
          </cell>
          <cell r="E14">
            <v>0.33</v>
          </cell>
          <cell r="F14" t="str">
            <v>A1</v>
          </cell>
          <cell r="G14" t="str">
            <v>- - -</v>
          </cell>
        </row>
        <row r="15">
          <cell r="B15" t="str">
            <v>Chuyên viên (cao đẳng)</v>
          </cell>
          <cell r="C15" t="str">
            <v>01a.003</v>
          </cell>
          <cell r="D15">
            <v>2.1</v>
          </cell>
          <cell r="E15">
            <v>0.31</v>
          </cell>
          <cell r="F15" t="str">
            <v>A0</v>
          </cell>
          <cell r="G15" t="str">
            <v>- - -</v>
          </cell>
        </row>
        <row r="16">
          <cell r="B16" t="str">
            <v>Cán sự</v>
          </cell>
          <cell r="C16" t="str">
            <v>01.004</v>
          </cell>
          <cell r="D16">
            <v>1.86</v>
          </cell>
          <cell r="E16">
            <v>0.2</v>
          </cell>
          <cell r="F16" t="str">
            <v>B</v>
          </cell>
          <cell r="G16" t="str">
            <v>- - -</v>
          </cell>
        </row>
        <row r="17">
          <cell r="B17" t="str">
            <v>Thanh tra viên cao cấp</v>
          </cell>
          <cell r="C17" t="str">
            <v>04.023</v>
          </cell>
          <cell r="D17">
            <v>6.2</v>
          </cell>
          <cell r="E17">
            <v>0.36</v>
          </cell>
          <cell r="F17" t="str">
            <v>A3</v>
          </cell>
          <cell r="G17" t="str">
            <v>A3.1</v>
          </cell>
        </row>
        <row r="18">
          <cell r="B18" t="str">
            <v>Thanh tra viên chính</v>
          </cell>
          <cell r="C18" t="str">
            <v>04.024</v>
          </cell>
          <cell r="D18">
            <v>4.4000000000000004</v>
          </cell>
          <cell r="E18">
            <v>0.34</v>
          </cell>
          <cell r="F18" t="str">
            <v>A2</v>
          </cell>
          <cell r="G18" t="str">
            <v>A2.1</v>
          </cell>
        </row>
        <row r="19">
          <cell r="B19" t="str">
            <v>Thanh tra viên</v>
          </cell>
          <cell r="C19" t="str">
            <v>04.025</v>
          </cell>
          <cell r="D19">
            <v>2.34</v>
          </cell>
          <cell r="E19">
            <v>0.33</v>
          </cell>
          <cell r="F19" t="str">
            <v>A1</v>
          </cell>
          <cell r="G19" t="str">
            <v>- - -</v>
          </cell>
        </row>
        <row r="20">
          <cell r="B20" t="str">
            <v>Thẩm tra viên</v>
          </cell>
          <cell r="C20" t="str">
            <v>03.230</v>
          </cell>
          <cell r="D20">
            <v>2.34</v>
          </cell>
          <cell r="E20">
            <v>0.33</v>
          </cell>
          <cell r="F20" t="str">
            <v>A1</v>
          </cell>
          <cell r="G20" t="str">
            <v>- - -</v>
          </cell>
        </row>
        <row r="21">
          <cell r="B21" t="str">
            <v>Thư viện viên cao cấp</v>
          </cell>
          <cell r="C21" t="str">
            <v>17.168</v>
          </cell>
          <cell r="D21">
            <v>5.75</v>
          </cell>
          <cell r="E21">
            <v>0.36</v>
          </cell>
          <cell r="F21" t="str">
            <v>A3</v>
          </cell>
          <cell r="G21" t="str">
            <v>A3.2</v>
          </cell>
        </row>
        <row r="22">
          <cell r="B22" t="str">
            <v>Thư viện viên chính</v>
          </cell>
          <cell r="C22" t="str">
            <v>17.169</v>
          </cell>
          <cell r="D22">
            <v>4</v>
          </cell>
          <cell r="E22">
            <v>0.34</v>
          </cell>
          <cell r="F22" t="str">
            <v>A2</v>
          </cell>
          <cell r="G22" t="str">
            <v>A2.2</v>
          </cell>
        </row>
        <row r="23">
          <cell r="B23" t="str">
            <v>Thư viện viên</v>
          </cell>
          <cell r="C23" t="str">
            <v>17.170</v>
          </cell>
          <cell r="D23">
            <v>2.34</v>
          </cell>
          <cell r="E23">
            <v>0.33</v>
          </cell>
          <cell r="F23" t="str">
            <v>A1</v>
          </cell>
          <cell r="G23" t="str">
            <v>- - -</v>
          </cell>
        </row>
        <row r="24">
          <cell r="B24" t="str">
            <v>Thư viện viên (cao đẳng)</v>
          </cell>
          <cell r="C24" t="str">
            <v>17a.170</v>
          </cell>
          <cell r="D24">
            <v>2.1</v>
          </cell>
          <cell r="E24">
            <v>0.31</v>
          </cell>
          <cell r="F24" t="str">
            <v>A0</v>
          </cell>
          <cell r="G24" t="str">
            <v>- - -</v>
          </cell>
        </row>
        <row r="25">
          <cell r="B25" t="str">
            <v>Thư viện viên trung cấp</v>
          </cell>
          <cell r="C25" t="str">
            <v>17.171</v>
          </cell>
          <cell r="D25">
            <v>1.86</v>
          </cell>
          <cell r="E25">
            <v>0.2</v>
          </cell>
          <cell r="F25" t="str">
            <v>B</v>
          </cell>
          <cell r="G25" t="str">
            <v>- - -</v>
          </cell>
        </row>
        <row r="26">
          <cell r="B26" t="str">
            <v>Kỹ sư cao cấp</v>
          </cell>
          <cell r="C26" t="str">
            <v>13.093</v>
          </cell>
          <cell r="D26">
            <v>6.2</v>
          </cell>
          <cell r="E26">
            <v>0.36</v>
          </cell>
          <cell r="F26" t="str">
            <v>A3</v>
          </cell>
          <cell r="G26" t="str">
            <v>A3.1</v>
          </cell>
        </row>
        <row r="27">
          <cell r="B27" t="str">
            <v>Kỹ sư chính</v>
          </cell>
          <cell r="C27" t="str">
            <v>13.094</v>
          </cell>
          <cell r="D27">
            <v>4.4000000000000004</v>
          </cell>
          <cell r="E27">
            <v>0.34</v>
          </cell>
          <cell r="F27" t="str">
            <v>A2</v>
          </cell>
          <cell r="G27" t="str">
            <v>A2.1</v>
          </cell>
        </row>
        <row r="28">
          <cell r="B28" t="str">
            <v>Kỹ sư</v>
          </cell>
          <cell r="C28" t="str">
            <v>13.095</v>
          </cell>
          <cell r="D28">
            <v>2.34</v>
          </cell>
          <cell r="E28">
            <v>0.33</v>
          </cell>
          <cell r="F28" t="str">
            <v>A1</v>
          </cell>
          <cell r="G28" t="str">
            <v>- - -</v>
          </cell>
        </row>
        <row r="29">
          <cell r="B29" t="str">
            <v>Kỹ thuật viên</v>
          </cell>
          <cell r="C29" t="str">
            <v>13.096</v>
          </cell>
          <cell r="D29">
            <v>1.86</v>
          </cell>
          <cell r="E29">
            <v>0.2</v>
          </cell>
          <cell r="F29" t="str">
            <v>B</v>
          </cell>
          <cell r="G29" t="str">
            <v>- - -</v>
          </cell>
        </row>
        <row r="30">
          <cell r="B30" t="str">
            <v>Bác sỹ cao cấp</v>
          </cell>
          <cell r="C30" t="str">
            <v>16.116</v>
          </cell>
          <cell r="D30">
            <v>6.2</v>
          </cell>
          <cell r="E30">
            <v>0.36</v>
          </cell>
          <cell r="F30" t="str">
            <v>A3</v>
          </cell>
          <cell r="G30" t="str">
            <v>A3.1</v>
          </cell>
        </row>
        <row r="31">
          <cell r="B31" t="str">
            <v>Bác sỹ chính</v>
          </cell>
          <cell r="C31" t="str">
            <v>16.117</v>
          </cell>
          <cell r="D31">
            <v>4.4000000000000004</v>
          </cell>
          <cell r="E31">
            <v>0.34</v>
          </cell>
          <cell r="F31" t="str">
            <v>A2</v>
          </cell>
          <cell r="G31" t="str">
            <v>A2.1</v>
          </cell>
        </row>
        <row r="32">
          <cell r="B32" t="str">
            <v>Bác sỹ</v>
          </cell>
          <cell r="C32" t="str">
            <v>16.118</v>
          </cell>
          <cell r="D32">
            <v>2.34</v>
          </cell>
          <cell r="E32">
            <v>0.33</v>
          </cell>
          <cell r="F32" t="str">
            <v>A1</v>
          </cell>
          <cell r="G32" t="str">
            <v>- - -</v>
          </cell>
        </row>
        <row r="33">
          <cell r="B33" t="str">
            <v>Y sỹ</v>
          </cell>
          <cell r="C33" t="str">
            <v>16.119</v>
          </cell>
          <cell r="D33">
            <v>1.86</v>
          </cell>
          <cell r="E33">
            <v>0.2</v>
          </cell>
          <cell r="F33" t="str">
            <v>B</v>
          </cell>
          <cell r="G33" t="str">
            <v>- - -</v>
          </cell>
        </row>
        <row r="34">
          <cell r="B34" t="str">
            <v>Biên tập viên cao cấp</v>
          </cell>
          <cell r="C34" t="str">
            <v>17.139</v>
          </cell>
          <cell r="D34">
            <v>6.2</v>
          </cell>
          <cell r="E34">
            <v>0.36</v>
          </cell>
          <cell r="F34" t="str">
            <v>A3</v>
          </cell>
          <cell r="G34" t="str">
            <v>A3.1</v>
          </cell>
        </row>
        <row r="35">
          <cell r="B35" t="str">
            <v>Biên tập viên chính</v>
          </cell>
          <cell r="C35" t="str">
            <v>17.140</v>
          </cell>
          <cell r="D35">
            <v>4.4000000000000004</v>
          </cell>
          <cell r="E35">
            <v>0.34</v>
          </cell>
          <cell r="F35" t="str">
            <v>A2</v>
          </cell>
          <cell r="G35" t="str">
            <v>A2.1</v>
          </cell>
        </row>
        <row r="36">
          <cell r="B36" t="str">
            <v>Biên tập viên</v>
          </cell>
          <cell r="C36" t="str">
            <v>17.141</v>
          </cell>
          <cell r="D36">
            <v>2.34</v>
          </cell>
          <cell r="E36">
            <v>0.33</v>
          </cell>
          <cell r="F36" t="str">
            <v>A1</v>
          </cell>
          <cell r="G36" t="str">
            <v>- - -</v>
          </cell>
        </row>
        <row r="37">
          <cell r="B37" t="str">
            <v>Phóng viên cao cấp</v>
          </cell>
          <cell r="C37" t="str">
            <v>17.142</v>
          </cell>
          <cell r="D37">
            <v>6.2</v>
          </cell>
          <cell r="E37">
            <v>0.36</v>
          </cell>
          <cell r="F37" t="str">
            <v>A3</v>
          </cell>
          <cell r="G37" t="str">
            <v>A3.1</v>
          </cell>
        </row>
        <row r="38">
          <cell r="B38" t="str">
            <v>Phóng viên chính</v>
          </cell>
          <cell r="C38" t="str">
            <v>17.143</v>
          </cell>
          <cell r="D38">
            <v>4.4000000000000004</v>
          </cell>
          <cell r="E38">
            <v>0.34</v>
          </cell>
          <cell r="F38" t="str">
            <v>A2</v>
          </cell>
          <cell r="G38" t="str">
            <v>A2.1</v>
          </cell>
        </row>
        <row r="39">
          <cell r="B39" t="str">
            <v>Phóng viên</v>
          </cell>
          <cell r="C39" t="str">
            <v>17.144</v>
          </cell>
          <cell r="D39">
            <v>2.34</v>
          </cell>
          <cell r="E39">
            <v>0.33</v>
          </cell>
          <cell r="F39" t="str">
            <v>A1</v>
          </cell>
          <cell r="G39" t="str">
            <v>- - -</v>
          </cell>
        </row>
        <row r="40">
          <cell r="B40" t="str">
            <v>Kế toán viên cao cấp</v>
          </cell>
          <cell r="C40" t="str">
            <v>06.029</v>
          </cell>
          <cell r="D40">
            <v>5.75</v>
          </cell>
          <cell r="E40">
            <v>0.36</v>
          </cell>
          <cell r="F40" t="str">
            <v>A3</v>
          </cell>
          <cell r="G40" t="str">
            <v>A3.2</v>
          </cell>
        </row>
        <row r="41">
          <cell r="B41" t="str">
            <v>Kế toán viên chính</v>
          </cell>
          <cell r="C41" t="str">
            <v>06.030</v>
          </cell>
          <cell r="D41">
            <v>4</v>
          </cell>
          <cell r="E41">
            <v>0.34</v>
          </cell>
          <cell r="F41" t="str">
            <v>A2</v>
          </cell>
          <cell r="G41" t="str">
            <v>A2.2</v>
          </cell>
        </row>
        <row r="42">
          <cell r="B42" t="str">
            <v>Kế toán viên</v>
          </cell>
          <cell r="C42" t="str">
            <v>06.031</v>
          </cell>
          <cell r="D42">
            <v>2.34</v>
          </cell>
          <cell r="E42">
            <v>0.33</v>
          </cell>
          <cell r="F42" t="str">
            <v>A1</v>
          </cell>
          <cell r="G42" t="str">
            <v>- - -</v>
          </cell>
        </row>
        <row r="43">
          <cell r="B43" t="str">
            <v>Kế toán viên (cao đẳng)</v>
          </cell>
          <cell r="C43" t="str">
            <v>06a.031</v>
          </cell>
          <cell r="D43">
            <v>2.1</v>
          </cell>
          <cell r="E43">
            <v>0.31</v>
          </cell>
          <cell r="F43" t="str">
            <v>A0</v>
          </cell>
          <cell r="G43" t="str">
            <v>- - -</v>
          </cell>
        </row>
        <row r="44">
          <cell r="B44" t="str">
            <v>Kế toán viên trung cấp</v>
          </cell>
          <cell r="C44" t="str">
            <v>06.032</v>
          </cell>
          <cell r="D44">
            <v>1.86</v>
          </cell>
          <cell r="E44">
            <v>0.2</v>
          </cell>
          <cell r="F44" t="str">
            <v>B</v>
          </cell>
          <cell r="G44" t="str">
            <v>- - -</v>
          </cell>
        </row>
        <row r="45">
          <cell r="B45" t="str">
            <v>Lưu trữ viên</v>
          </cell>
          <cell r="C45" t="str">
            <v>02.014</v>
          </cell>
          <cell r="D45">
            <v>2.34</v>
          </cell>
          <cell r="E45">
            <v>0.33</v>
          </cell>
          <cell r="F45" t="str">
            <v>A1</v>
          </cell>
          <cell r="G45" t="str">
            <v>- - -</v>
          </cell>
        </row>
        <row r="46">
          <cell r="B46" t="str">
            <v>Lưu trữ viên (cao đẳng)</v>
          </cell>
          <cell r="C46" t="str">
            <v>02a.014</v>
          </cell>
          <cell r="D46">
            <v>2.1</v>
          </cell>
          <cell r="E46">
            <v>0.31</v>
          </cell>
          <cell r="F46" t="str">
            <v>A0</v>
          </cell>
          <cell r="G46" t="str">
            <v>- - -</v>
          </cell>
        </row>
        <row r="47">
          <cell r="B47" t="str">
            <v>Lưu trữ viên trung cấp</v>
          </cell>
          <cell r="C47" t="str">
            <v>02.015</v>
          </cell>
          <cell r="D47">
            <v>1.86</v>
          </cell>
          <cell r="E47">
            <v>0.2</v>
          </cell>
          <cell r="F47" t="str">
            <v>B</v>
          </cell>
          <cell r="G47" t="str">
            <v>- - -</v>
          </cell>
        </row>
        <row r="48">
          <cell r="B48" t="str">
            <v>Lái xe cơ quan</v>
          </cell>
          <cell r="C48" t="str">
            <v>01.010</v>
          </cell>
          <cell r="D48">
            <v>2.0499999999999998</v>
          </cell>
          <cell r="E48">
            <v>0.18</v>
          </cell>
          <cell r="F48" t="str">
            <v>C</v>
          </cell>
          <cell r="G48" t="str">
            <v>Nhân viên</v>
          </cell>
        </row>
        <row r="49">
          <cell r="B49" t="str">
            <v>Nhân viên kỹ thuật</v>
          </cell>
          <cell r="C49" t="str">
            <v>01.007</v>
          </cell>
          <cell r="D49">
            <v>1.65</v>
          </cell>
          <cell r="E49">
            <v>0.18</v>
          </cell>
          <cell r="F49" t="str">
            <v>C</v>
          </cell>
          <cell r="G49" t="str">
            <v>Nhân viên</v>
          </cell>
        </row>
        <row r="50">
          <cell r="B50" t="str">
            <v>Nhân viên bảo vệ</v>
          </cell>
          <cell r="C50" t="str">
            <v>01.011</v>
          </cell>
          <cell r="D50">
            <v>1.5</v>
          </cell>
          <cell r="E50">
            <v>0.18</v>
          </cell>
          <cell r="F50" t="str">
            <v>C</v>
          </cell>
          <cell r="G50" t="str">
            <v>Nhân viên</v>
          </cell>
        </row>
        <row r="51">
          <cell r="B51" t="str">
            <v>Kỹ Thuật viên đánh máy</v>
          </cell>
          <cell r="C51" t="str">
            <v>01.005</v>
          </cell>
          <cell r="D51">
            <v>1.5</v>
          </cell>
          <cell r="E51">
            <v>0.18</v>
          </cell>
          <cell r="F51" t="str">
            <v>C</v>
          </cell>
          <cell r="G51" t="str">
            <v>Nhân viên</v>
          </cell>
        </row>
        <row r="52">
          <cell r="B52" t="str">
            <v>Nhân viên đánh máy</v>
          </cell>
          <cell r="C52" t="str">
            <v>01.005</v>
          </cell>
          <cell r="D52">
            <v>1.5</v>
          </cell>
          <cell r="E52">
            <v>0.18</v>
          </cell>
          <cell r="F52" t="str">
            <v>C</v>
          </cell>
          <cell r="G52" t="str">
            <v>Nhân viên</v>
          </cell>
        </row>
        <row r="53">
          <cell r="B53" t="str">
            <v>Nhân viên phục vụ</v>
          </cell>
          <cell r="C53" t="str">
            <v>01.009</v>
          </cell>
          <cell r="D53">
            <v>1</v>
          </cell>
          <cell r="E53">
            <v>0.18</v>
          </cell>
          <cell r="F53" t="str">
            <v>C</v>
          </cell>
          <cell r="G53" t="str">
            <v>Nhân viên</v>
          </cell>
        </row>
        <row r="54">
          <cell r="B54" t="str">
            <v>Thủ kho bảo quản</v>
          </cell>
          <cell r="C54" t="str">
            <v>19.185</v>
          </cell>
          <cell r="D54">
            <v>1.65</v>
          </cell>
          <cell r="E54">
            <v>0.18</v>
          </cell>
          <cell r="F54" t="str">
            <v>C</v>
          </cell>
          <cell r="G54" t="str">
            <v>Nhân viên</v>
          </cell>
        </row>
        <row r="55">
          <cell r="B55" t="str">
            <v>Thủ quỹ</v>
          </cell>
          <cell r="C55" t="str">
            <v>06.035</v>
          </cell>
          <cell r="D55">
            <v>1.5</v>
          </cell>
          <cell r="E55">
            <v>0.18</v>
          </cell>
          <cell r="F55" t="str">
            <v>C</v>
          </cell>
          <cell r="G55" t="str">
            <v>Nhân viên</v>
          </cell>
        </row>
        <row r="56">
          <cell r="B56">
            <v>0</v>
          </cell>
          <cell r="C56">
            <v>0</v>
          </cell>
          <cell r="D56">
            <v>0</v>
          </cell>
          <cell r="E56">
            <v>0</v>
          </cell>
          <cell r="F56">
            <v>0</v>
          </cell>
          <cell r="G56">
            <v>0</v>
          </cell>
        </row>
        <row r="57">
          <cell r="B57">
            <v>0</v>
          </cell>
          <cell r="C57">
            <v>0</v>
          </cell>
          <cell r="D57">
            <v>0</v>
          </cell>
          <cell r="E57">
            <v>0</v>
          </cell>
          <cell r="F57">
            <v>0</v>
          </cell>
          <cell r="G57">
            <v>0</v>
          </cell>
        </row>
        <row r="58">
          <cell r="B58">
            <v>0</v>
          </cell>
          <cell r="C58">
            <v>0</v>
          </cell>
          <cell r="D58">
            <v>0</v>
          </cell>
          <cell r="E58">
            <v>0</v>
          </cell>
          <cell r="F58">
            <v>0</v>
          </cell>
          <cell r="G58">
            <v>0</v>
          </cell>
        </row>
        <row r="59">
          <cell r="B59">
            <v>0</v>
          </cell>
          <cell r="C59">
            <v>0</v>
          </cell>
          <cell r="D59">
            <v>0</v>
          </cell>
          <cell r="E59">
            <v>0</v>
          </cell>
          <cell r="F59">
            <v>0</v>
          </cell>
          <cell r="G59">
            <v>0</v>
          </cell>
        </row>
        <row r="60">
          <cell r="B60">
            <v>0</v>
          </cell>
          <cell r="C60">
            <v>0</v>
          </cell>
          <cell r="D60">
            <v>0</v>
          </cell>
          <cell r="E60">
            <v>0</v>
          </cell>
          <cell r="F60">
            <v>0</v>
          </cell>
          <cell r="G60">
            <v>0</v>
          </cell>
        </row>
        <row r="61">
          <cell r="B61">
            <v>0</v>
          </cell>
          <cell r="C61">
            <v>0</v>
          </cell>
          <cell r="D61">
            <v>0</v>
          </cell>
          <cell r="E61">
            <v>0</v>
          </cell>
          <cell r="F61">
            <v>0</v>
          </cell>
          <cell r="G61">
            <v>0</v>
          </cell>
        </row>
        <row r="62">
          <cell r="B62">
            <v>0</v>
          </cell>
          <cell r="C62">
            <v>0</v>
          </cell>
          <cell r="D62">
            <v>0</v>
          </cell>
          <cell r="E62">
            <v>0</v>
          </cell>
          <cell r="F62">
            <v>0</v>
          </cell>
          <cell r="G62">
            <v>0</v>
          </cell>
        </row>
        <row r="63">
          <cell r="B63">
            <v>0</v>
          </cell>
          <cell r="C63">
            <v>0</v>
          </cell>
          <cell r="D63">
            <v>0</v>
          </cell>
          <cell r="E63">
            <v>0</v>
          </cell>
          <cell r="F63">
            <v>0</v>
          </cell>
          <cell r="G63">
            <v>0</v>
          </cell>
        </row>
        <row r="64">
          <cell r="B64">
            <v>0</v>
          </cell>
          <cell r="C64">
            <v>0</v>
          </cell>
          <cell r="D64">
            <v>0</v>
          </cell>
          <cell r="E64">
            <v>0</v>
          </cell>
          <cell r="F64">
            <v>0</v>
          </cell>
          <cell r="G64">
            <v>0</v>
          </cell>
        </row>
        <row r="65">
          <cell r="B65">
            <v>0</v>
          </cell>
          <cell r="C65">
            <v>0</v>
          </cell>
          <cell r="D65">
            <v>0</v>
          </cell>
          <cell r="E65">
            <v>0</v>
          </cell>
          <cell r="F65">
            <v>0</v>
          </cell>
          <cell r="G65">
            <v>0</v>
          </cell>
        </row>
        <row r="66">
          <cell r="B66">
            <v>0</v>
          </cell>
          <cell r="C66">
            <v>0</v>
          </cell>
          <cell r="D66">
            <v>0</v>
          </cell>
          <cell r="E66">
            <v>0</v>
          </cell>
          <cell r="F66">
            <v>0</v>
          </cell>
          <cell r="G66">
            <v>0</v>
          </cell>
        </row>
        <row r="67">
          <cell r="B67">
            <v>0</v>
          </cell>
          <cell r="C67">
            <v>0</v>
          </cell>
          <cell r="D67">
            <v>0</v>
          </cell>
          <cell r="E67">
            <v>0</v>
          </cell>
          <cell r="F67">
            <v>0</v>
          </cell>
          <cell r="G67">
            <v>0</v>
          </cell>
        </row>
        <row r="68">
          <cell r="B68">
            <v>0</v>
          </cell>
          <cell r="C68">
            <v>0</v>
          </cell>
          <cell r="D68">
            <v>0</v>
          </cell>
          <cell r="E68">
            <v>0</v>
          </cell>
          <cell r="F68">
            <v>0</v>
          </cell>
          <cell r="G68">
            <v>0</v>
          </cell>
        </row>
        <row r="69">
          <cell r="B69">
            <v>0</v>
          </cell>
          <cell r="C69">
            <v>0</v>
          </cell>
          <cell r="D69">
            <v>0</v>
          </cell>
          <cell r="E69">
            <v>0</v>
          </cell>
          <cell r="F69">
            <v>0</v>
          </cell>
          <cell r="G69">
            <v>0</v>
          </cell>
        </row>
        <row r="70">
          <cell r="B70" t="str">
            <v>CHỨC VỤ</v>
          </cell>
          <cell r="C70" t="str">
            <v>PC CV</v>
          </cell>
          <cell r="D70">
            <v>0</v>
          </cell>
          <cell r="E70">
            <v>0</v>
          </cell>
          <cell r="F70">
            <v>0</v>
          </cell>
          <cell r="G70">
            <v>0</v>
          </cell>
        </row>
        <row r="71">
          <cell r="B71" t="str">
            <v>Giám đốc Học viện</v>
          </cell>
          <cell r="C71">
            <v>1.3</v>
          </cell>
          <cell r="D71">
            <v>0</v>
          </cell>
          <cell r="E71">
            <v>0</v>
          </cell>
          <cell r="F71">
            <v>0</v>
          </cell>
          <cell r="G71">
            <v>0</v>
          </cell>
        </row>
        <row r="72">
          <cell r="B72" t="str">
            <v>Nguyên giám đốc Học viện</v>
          </cell>
          <cell r="C72">
            <v>1.3</v>
          </cell>
          <cell r="D72">
            <v>0</v>
          </cell>
          <cell r="E72">
            <v>0</v>
          </cell>
          <cell r="F72">
            <v>0</v>
          </cell>
          <cell r="G72">
            <v>0</v>
          </cell>
        </row>
        <row r="73">
          <cell r="B73" t="str">
            <v>Phó Giám đốc Học viện</v>
          </cell>
          <cell r="C73">
            <v>1.1000000000000001</v>
          </cell>
          <cell r="D73">
            <v>0</v>
          </cell>
          <cell r="E73">
            <v>0</v>
          </cell>
          <cell r="F73">
            <v>0</v>
          </cell>
          <cell r="G73">
            <v>0</v>
          </cell>
        </row>
        <row r="74">
          <cell r="B74" t="str">
            <v>Nguyên Phó giám đốc Học viện</v>
          </cell>
          <cell r="C74">
            <v>1.1000000000000001</v>
          </cell>
          <cell r="D74">
            <v>0</v>
          </cell>
          <cell r="E74">
            <v>0</v>
          </cell>
          <cell r="F74">
            <v>0</v>
          </cell>
          <cell r="G74">
            <v>0</v>
          </cell>
        </row>
        <row r="75">
          <cell r="B75" t="str">
            <v>Giám đốc phân viện</v>
          </cell>
          <cell r="C75" t="str">
            <v>1,2</v>
          </cell>
          <cell r="D75">
            <v>0</v>
          </cell>
          <cell r="E75">
            <v>0</v>
          </cell>
          <cell r="F75">
            <v>0</v>
          </cell>
          <cell r="G75">
            <v>0</v>
          </cell>
        </row>
        <row r="76">
          <cell r="B76" t="str">
            <v>Trưởng khoa</v>
          </cell>
          <cell r="C76" t="str">
            <v>1,0</v>
          </cell>
          <cell r="D76">
            <v>0</v>
          </cell>
          <cell r="E76">
            <v>0</v>
          </cell>
          <cell r="F76">
            <v>0</v>
          </cell>
          <cell r="G76">
            <v>0</v>
          </cell>
        </row>
        <row r="77">
          <cell r="B77" t="str">
            <v>Nguyên Trưởng khoa</v>
          </cell>
          <cell r="C77" t="str">
            <v>1,0</v>
          </cell>
          <cell r="D77">
            <v>0</v>
          </cell>
          <cell r="E77">
            <v>0</v>
          </cell>
          <cell r="F77">
            <v>0</v>
          </cell>
          <cell r="G77">
            <v>0</v>
          </cell>
        </row>
        <row r="78">
          <cell r="B78" t="str">
            <v>Phó Trưởng khoa</v>
          </cell>
          <cell r="C78" t="str">
            <v>0,8</v>
          </cell>
          <cell r="D78">
            <v>0</v>
          </cell>
          <cell r="E78">
            <v>0</v>
          </cell>
          <cell r="F78">
            <v>0</v>
          </cell>
          <cell r="G78">
            <v>0</v>
          </cell>
        </row>
        <row r="79">
          <cell r="B79" t="str">
            <v>Nguyên Phó trưởng khoa</v>
          </cell>
          <cell r="C79" t="str">
            <v>0,8</v>
          </cell>
          <cell r="D79">
            <v>0</v>
          </cell>
          <cell r="E79">
            <v>0</v>
          </cell>
          <cell r="F79">
            <v>0</v>
          </cell>
          <cell r="G79">
            <v>0</v>
          </cell>
        </row>
        <row r="80">
          <cell r="B80" t="str">
            <v>Trưởng ban</v>
          </cell>
          <cell r="C80" t="str">
            <v>1,0</v>
          </cell>
          <cell r="D80">
            <v>0</v>
          </cell>
          <cell r="E80">
            <v>0</v>
          </cell>
          <cell r="F80">
            <v>0</v>
          </cell>
          <cell r="G80">
            <v>0</v>
          </cell>
        </row>
        <row r="81">
          <cell r="B81" t="str">
            <v>Nguyên Trưởng ban</v>
          </cell>
          <cell r="C81" t="str">
            <v>1,0</v>
          </cell>
          <cell r="D81">
            <v>0</v>
          </cell>
          <cell r="E81">
            <v>0</v>
          </cell>
          <cell r="F81">
            <v>0</v>
          </cell>
          <cell r="G81">
            <v>0</v>
          </cell>
        </row>
        <row r="82">
          <cell r="B82" t="str">
            <v>Phó Trưởng ban</v>
          </cell>
          <cell r="C82" t="str">
            <v>0,8</v>
          </cell>
          <cell r="D82">
            <v>0</v>
          </cell>
          <cell r="E82">
            <v>0</v>
          </cell>
          <cell r="F82">
            <v>0</v>
          </cell>
          <cell r="G82">
            <v>0</v>
          </cell>
        </row>
        <row r="83">
          <cell r="B83" t="str">
            <v>Phó Trưởng ban (PT)</v>
          </cell>
          <cell r="C83" t="str">
            <v>0,8</v>
          </cell>
          <cell r="D83">
            <v>0</v>
          </cell>
          <cell r="E83">
            <v>0</v>
          </cell>
          <cell r="F83">
            <v>0</v>
          </cell>
          <cell r="G83">
            <v>0</v>
          </cell>
        </row>
        <row r="84">
          <cell r="B84" t="str">
            <v>Nguyên Phó trưởng ban</v>
          </cell>
          <cell r="C84" t="str">
            <v>0,8</v>
          </cell>
          <cell r="D84">
            <v>0</v>
          </cell>
          <cell r="E84">
            <v>0</v>
          </cell>
          <cell r="F84">
            <v>0</v>
          </cell>
          <cell r="G84">
            <v>0</v>
          </cell>
        </row>
        <row r="85">
          <cell r="B85" t="str">
            <v>Trưởng phòng</v>
          </cell>
          <cell r="C85" t="str">
            <v>0,6</v>
          </cell>
          <cell r="D85">
            <v>0</v>
          </cell>
          <cell r="E85">
            <v>0</v>
          </cell>
          <cell r="F85">
            <v>0</v>
          </cell>
          <cell r="G85">
            <v>0</v>
          </cell>
        </row>
        <row r="86">
          <cell r="B86" t="str">
            <v>Q. Trưởng phòng</v>
          </cell>
          <cell r="C86" t="str">
            <v>0,6</v>
          </cell>
          <cell r="D86">
            <v>0</v>
          </cell>
          <cell r="E86">
            <v>0</v>
          </cell>
          <cell r="F86">
            <v>0</v>
          </cell>
          <cell r="G86">
            <v>0</v>
          </cell>
        </row>
        <row r="87">
          <cell r="B87" t="str">
            <v>Phó Trưởng phòng</v>
          </cell>
          <cell r="C87" t="str">
            <v>0,4</v>
          </cell>
          <cell r="D87">
            <v>0</v>
          </cell>
          <cell r="E87">
            <v>0</v>
          </cell>
          <cell r="F87">
            <v>0</v>
          </cell>
          <cell r="G87">
            <v>0</v>
          </cell>
        </row>
        <row r="88">
          <cell r="B88" t="str">
            <v>Phó Trưởng phòng (PT)</v>
          </cell>
          <cell r="C88" t="str">
            <v>0,4</v>
          </cell>
          <cell r="D88">
            <v>0</v>
          </cell>
          <cell r="E88">
            <v>0</v>
          </cell>
          <cell r="F88">
            <v>0</v>
          </cell>
          <cell r="G88">
            <v>0</v>
          </cell>
        </row>
        <row r="89">
          <cell r="B89" t="str">
            <v>Trưởng bộ môn</v>
          </cell>
          <cell r="C89" t="str">
            <v>0,6</v>
          </cell>
          <cell r="D89">
            <v>0</v>
          </cell>
          <cell r="E89">
            <v>0</v>
          </cell>
          <cell r="F89">
            <v>0</v>
          </cell>
          <cell r="G89">
            <v>0</v>
          </cell>
        </row>
        <row r="90">
          <cell r="B90" t="str">
            <v>Phó Trưởng bộ môn</v>
          </cell>
          <cell r="C90" t="str">
            <v>0,4</v>
          </cell>
          <cell r="D90">
            <v>0</v>
          </cell>
          <cell r="E90">
            <v>0</v>
          </cell>
          <cell r="F90">
            <v>0</v>
          </cell>
          <cell r="G90">
            <v>0</v>
          </cell>
        </row>
        <row r="91">
          <cell r="B91" t="str">
            <v>Tổng Biên tập</v>
          </cell>
          <cell r="C91" t="str">
            <v>1,0</v>
          </cell>
          <cell r="D91">
            <v>0</v>
          </cell>
          <cell r="E91">
            <v>0</v>
          </cell>
          <cell r="F91">
            <v>0</v>
          </cell>
          <cell r="G91">
            <v>0</v>
          </cell>
        </row>
        <row r="92">
          <cell r="B92" t="str">
            <v>Phó Tổng biên tập</v>
          </cell>
          <cell r="C92" t="str">
            <v>0,8</v>
          </cell>
          <cell r="D92">
            <v>0</v>
          </cell>
          <cell r="E92">
            <v>0</v>
          </cell>
          <cell r="F92">
            <v>0</v>
          </cell>
          <cell r="G92">
            <v>0</v>
          </cell>
        </row>
        <row r="93">
          <cell r="B93" t="str">
            <v>Trưởng ban (TC QLNN)</v>
          </cell>
          <cell r="C93" t="str">
            <v>0,6</v>
          </cell>
          <cell r="D93">
            <v>0</v>
          </cell>
          <cell r="E93">
            <v>0</v>
          </cell>
          <cell r="F93">
            <v>0</v>
          </cell>
          <cell r="G93">
            <v>0</v>
          </cell>
        </row>
        <row r="94">
          <cell r="B94" t="str">
            <v>Trưởng Ban Biên tập</v>
          </cell>
          <cell r="C94" t="str">
            <v>0,6</v>
          </cell>
          <cell r="D94">
            <v>0</v>
          </cell>
          <cell r="E94">
            <v>0</v>
          </cell>
          <cell r="F94">
            <v>0</v>
          </cell>
          <cell r="G94">
            <v>0</v>
          </cell>
        </row>
        <row r="95">
          <cell r="B95" t="str">
            <v>Phó Trưởng ban (TC QLNN)</v>
          </cell>
          <cell r="C95" t="str">
            <v>0,4</v>
          </cell>
          <cell r="D95">
            <v>0</v>
          </cell>
          <cell r="E95">
            <v>0</v>
          </cell>
          <cell r="F95">
            <v>0</v>
          </cell>
          <cell r="G95">
            <v>0</v>
          </cell>
        </row>
        <row r="96">
          <cell r="B96" t="str">
            <v>Phó Trưởng ban (TC QLNN)</v>
          </cell>
          <cell r="C96" t="str">
            <v>0,4</v>
          </cell>
          <cell r="D96">
            <v>0</v>
          </cell>
          <cell r="E96">
            <v>0</v>
          </cell>
          <cell r="F96">
            <v>0</v>
          </cell>
          <cell r="G96">
            <v>0</v>
          </cell>
        </row>
        <row r="97">
          <cell r="B97" t="str">
            <v>Viện Trưởng</v>
          </cell>
          <cell r="C97" t="str">
            <v>1,0</v>
          </cell>
          <cell r="D97">
            <v>0</v>
          </cell>
          <cell r="E97">
            <v>0</v>
          </cell>
          <cell r="F97">
            <v>0</v>
          </cell>
          <cell r="G97">
            <v>0</v>
          </cell>
        </row>
        <row r="98">
          <cell r="B98" t="str">
            <v>Nguyên Viện Trưởng</v>
          </cell>
          <cell r="C98" t="str">
            <v>1,0</v>
          </cell>
          <cell r="D98">
            <v>0</v>
          </cell>
          <cell r="E98">
            <v>0</v>
          </cell>
          <cell r="F98">
            <v>0</v>
          </cell>
          <cell r="G98">
            <v>0</v>
          </cell>
        </row>
        <row r="99">
          <cell r="B99" t="str">
            <v>Phó Viện Trưởng</v>
          </cell>
          <cell r="C99" t="str">
            <v>0,8</v>
          </cell>
          <cell r="D99">
            <v>0</v>
          </cell>
          <cell r="E99">
            <v>0</v>
          </cell>
          <cell r="F99">
            <v>0</v>
          </cell>
          <cell r="G99">
            <v>0</v>
          </cell>
        </row>
        <row r="100">
          <cell r="B100" t="str">
            <v>Nguyên Phó Viện Trưởng</v>
          </cell>
          <cell r="C100" t="str">
            <v>0,8</v>
          </cell>
          <cell r="D100">
            <v>0</v>
          </cell>
          <cell r="E100">
            <v>0</v>
          </cell>
          <cell r="F100">
            <v>0</v>
          </cell>
          <cell r="G100">
            <v>0</v>
          </cell>
        </row>
        <row r="101">
          <cell r="B101" t="str">
            <v>Chủ nhiệm TV</v>
          </cell>
          <cell r="C101" t="str">
            <v>0,6</v>
          </cell>
          <cell r="D101">
            <v>0</v>
          </cell>
          <cell r="E101">
            <v>0</v>
          </cell>
          <cell r="F101">
            <v>0</v>
          </cell>
          <cell r="G101">
            <v>0</v>
          </cell>
        </row>
        <row r="102">
          <cell r="B102" t="str">
            <v>Phó Chủ nhiệm TV</v>
          </cell>
          <cell r="C102" t="str">
            <v>0,4</v>
          </cell>
          <cell r="D102">
            <v>0</v>
          </cell>
          <cell r="E102">
            <v>0</v>
          </cell>
          <cell r="F102">
            <v>0</v>
          </cell>
          <cell r="G102">
            <v>0</v>
          </cell>
        </row>
        <row r="103">
          <cell r="B103" t="str">
            <v>Giám đốc (cấp vụ)</v>
          </cell>
          <cell r="C103" t="str">
            <v>1,0</v>
          </cell>
          <cell r="D103">
            <v>0</v>
          </cell>
          <cell r="E103">
            <v>0</v>
          </cell>
          <cell r="F103">
            <v>0</v>
          </cell>
          <cell r="G103">
            <v>0</v>
          </cell>
        </row>
        <row r="104">
          <cell r="B104" t="str">
            <v>Phó Giám đốc (cấp vụ)</v>
          </cell>
          <cell r="C104" t="str">
            <v>0,8</v>
          </cell>
          <cell r="D104">
            <v>0</v>
          </cell>
          <cell r="E104">
            <v>0</v>
          </cell>
          <cell r="F104">
            <v>0</v>
          </cell>
          <cell r="G104">
            <v>0</v>
          </cell>
        </row>
        <row r="105">
          <cell r="B105" t="str">
            <v>Giám đốc (cấp phòng)</v>
          </cell>
          <cell r="C105">
            <v>0.6</v>
          </cell>
          <cell r="D105">
            <v>0</v>
          </cell>
          <cell r="E105">
            <v>0</v>
          </cell>
          <cell r="F105">
            <v>0</v>
          </cell>
          <cell r="G105">
            <v>0</v>
          </cell>
        </row>
        <row r="106">
          <cell r="B106" t="str">
            <v>Phó Giám đốc (cấp phòng)</v>
          </cell>
          <cell r="C106" t="str">
            <v>0,4</v>
          </cell>
          <cell r="D106">
            <v>0</v>
          </cell>
          <cell r="E106">
            <v>0</v>
          </cell>
          <cell r="F106">
            <v>0</v>
          </cell>
          <cell r="G106">
            <v>0</v>
          </cell>
        </row>
        <row r="107">
          <cell r="B107" t="str">
            <v>Chánh văn phòng</v>
          </cell>
          <cell r="C107" t="str">
            <v>1,0</v>
          </cell>
          <cell r="D107">
            <v>0</v>
          </cell>
          <cell r="E107">
            <v>0</v>
          </cell>
          <cell r="F107">
            <v>0</v>
          </cell>
          <cell r="G107">
            <v>0</v>
          </cell>
        </row>
        <row r="108">
          <cell r="B108" t="str">
            <v>Phó Chánh văn phòng</v>
          </cell>
          <cell r="C108" t="str">
            <v>0,8</v>
          </cell>
          <cell r="D108">
            <v>0</v>
          </cell>
          <cell r="E108">
            <v>0</v>
          </cell>
          <cell r="F108">
            <v>0</v>
          </cell>
          <cell r="G108">
            <v>0</v>
          </cell>
        </row>
        <row r="109">
          <cell r="B109" t="str">
            <v>Đội Trưởng</v>
          </cell>
          <cell r="C109" t="str">
            <v>0,6</v>
          </cell>
          <cell r="D109">
            <v>0</v>
          </cell>
          <cell r="E109">
            <v>0</v>
          </cell>
          <cell r="F109">
            <v>0</v>
          </cell>
          <cell r="G109">
            <v>0</v>
          </cell>
        </row>
        <row r="110">
          <cell r="B110" t="str">
            <v>Đội Phó</v>
          </cell>
          <cell r="C110" t="str">
            <v>0,4</v>
          </cell>
          <cell r="D110">
            <v>0</v>
          </cell>
          <cell r="E110">
            <v>0</v>
          </cell>
          <cell r="F110">
            <v>0</v>
          </cell>
          <cell r="G110">
            <v>0</v>
          </cell>
        </row>
        <row r="111">
          <cell r="B111">
            <v>0</v>
          </cell>
          <cell r="C111">
            <v>0</v>
          </cell>
          <cell r="D111">
            <v>0</v>
          </cell>
          <cell r="E111">
            <v>0</v>
          </cell>
          <cell r="F111">
            <v>0</v>
          </cell>
          <cell r="G111">
            <v>0</v>
          </cell>
        </row>
        <row r="112">
          <cell r="B112">
            <v>0</v>
          </cell>
          <cell r="C112">
            <v>0</v>
          </cell>
          <cell r="D112">
            <v>0</v>
          </cell>
          <cell r="E112">
            <v>0</v>
          </cell>
          <cell r="F112">
            <v>0</v>
          </cell>
          <cell r="G112">
            <v>0</v>
          </cell>
        </row>
        <row r="113">
          <cell r="B113">
            <v>0</v>
          </cell>
          <cell r="C113">
            <v>0</v>
          </cell>
          <cell r="D113">
            <v>0</v>
          </cell>
          <cell r="E113">
            <v>0</v>
          </cell>
          <cell r="F113">
            <v>0</v>
          </cell>
          <cell r="G113">
            <v>0</v>
          </cell>
        </row>
        <row r="114">
          <cell r="C114">
            <v>0</v>
          </cell>
          <cell r="D114">
            <v>0</v>
          </cell>
          <cell r="E114">
            <v>0</v>
          </cell>
          <cell r="F114">
            <v>0</v>
          </cell>
        </row>
        <row r="115">
          <cell r="C115">
            <v>0</v>
          </cell>
          <cell r="D115">
            <v>0</v>
          </cell>
          <cell r="E115">
            <v>0</v>
          </cell>
          <cell r="F115">
            <v>0</v>
          </cell>
        </row>
        <row r="116">
          <cell r="C116">
            <v>0</v>
          </cell>
          <cell r="D116">
            <v>0</v>
          </cell>
          <cell r="E116">
            <v>0</v>
          </cell>
          <cell r="F116">
            <v>0</v>
          </cell>
        </row>
        <row r="117">
          <cell r="C117">
            <v>0</v>
          </cell>
          <cell r="D117">
            <v>0</v>
          </cell>
          <cell r="E117">
            <v>0</v>
          </cell>
          <cell r="F117">
            <v>0</v>
          </cell>
        </row>
        <row r="118">
          <cell r="C118">
            <v>0</v>
          </cell>
          <cell r="D118">
            <v>0</v>
          </cell>
          <cell r="E118">
            <v>0</v>
          </cell>
          <cell r="F118">
            <v>0</v>
          </cell>
        </row>
        <row r="119">
          <cell r="C119">
            <v>0</v>
          </cell>
          <cell r="D119">
            <v>0</v>
          </cell>
          <cell r="E119">
            <v>0</v>
          </cell>
          <cell r="F119">
            <v>0</v>
          </cell>
        </row>
        <row r="120">
          <cell r="C120">
            <v>0</v>
          </cell>
          <cell r="D120">
            <v>0</v>
          </cell>
          <cell r="E120">
            <v>0</v>
          </cell>
          <cell r="F120">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K72"/>
  <sheetViews>
    <sheetView view="pageBreakPreview" topLeftCell="B34" zoomScale="115" zoomScaleNormal="100" zoomScaleSheetLayoutView="115" workbookViewId="0">
      <selection activeCell="R28" sqref="R28"/>
    </sheetView>
  </sheetViews>
  <sheetFormatPr defaultRowHeight="16.5" x14ac:dyDescent="0.2"/>
  <cols>
    <col min="1" max="1" width="5.7109375" style="8" hidden="1" customWidth="1"/>
    <col min="2" max="2" width="3.5703125" style="9" customWidth="1"/>
    <col min="3" max="3" width="5" style="8" hidden="1" customWidth="1"/>
    <col min="4" max="4" width="7.140625" style="33" hidden="1" customWidth="1"/>
    <col min="5" max="5" width="13.28515625" style="167" customWidth="1"/>
    <col min="6" max="6" width="3.42578125" style="166" customWidth="1"/>
    <col min="7" max="7" width="5.5703125" style="17" hidden="1" customWidth="1"/>
    <col min="8" max="8" width="0.85546875" style="17" hidden="1" customWidth="1"/>
    <col min="9" max="9" width="4.5703125" style="17" hidden="1" customWidth="1"/>
    <col min="10" max="10" width="1.5703125" style="18" hidden="1" customWidth="1"/>
    <col min="11" max="12" width="7.140625" style="18" hidden="1" customWidth="1"/>
    <col min="13" max="13" width="4.140625" style="18" customWidth="1"/>
    <col min="14" max="14" width="7.140625" style="18" hidden="1" customWidth="1"/>
    <col min="15" max="16" width="3" style="18" hidden="1" customWidth="1"/>
    <col min="17" max="17" width="3" style="78" hidden="1" customWidth="1"/>
    <col min="18" max="18" width="11.28515625" style="79" customWidth="1"/>
    <col min="19" max="19" width="20.28515625" style="199" customWidth="1"/>
    <col min="20" max="20" width="2.28515625" style="199" hidden="1" customWidth="1"/>
    <col min="21" max="21" width="10.7109375" style="20" hidden="1" customWidth="1"/>
    <col min="22" max="22" width="12.85546875" style="200" hidden="1" customWidth="1"/>
    <col min="23" max="23" width="10.28515625" style="19" customWidth="1"/>
    <col min="24" max="24" width="9.28515625" style="16" customWidth="1"/>
    <col min="25" max="25" width="8" style="28" hidden="1" customWidth="1"/>
    <col min="26" max="26" width="7.85546875" style="28" hidden="1" customWidth="1"/>
    <col min="27" max="27" width="3.28515625" style="23" hidden="1" customWidth="1"/>
    <col min="28" max="28" width="2.85546875" style="23" customWidth="1"/>
    <col min="29" max="29" width="0.7109375" style="25" customWidth="1"/>
    <col min="30" max="30" width="3" style="26" customWidth="1"/>
    <col min="31" max="31" width="4.140625" style="201" customWidth="1"/>
    <col min="32" max="32" width="3.5703125" style="201" customWidth="1"/>
    <col min="33" max="33" width="1.28515625" style="201" customWidth="1"/>
    <col min="34" max="34" width="2.85546875" style="26" hidden="1" customWidth="1"/>
    <col min="35" max="35" width="0.7109375" style="29" hidden="1" customWidth="1"/>
    <col min="36" max="36" width="2.7109375" style="21" customWidth="1"/>
    <col min="37" max="37" width="0.7109375" style="25" customWidth="1"/>
    <col min="38" max="38" width="4.5703125" style="202" customWidth="1"/>
    <col min="39" max="39" width="4.7109375" style="202" customWidth="1"/>
    <col min="40" max="40" width="12" style="202" customWidth="1"/>
    <col min="41" max="41" width="2.85546875" style="24" customWidth="1"/>
    <col min="42" max="42" width="0.85546875" style="25" customWidth="1"/>
    <col min="43" max="43" width="2.85546875" style="401" customWidth="1"/>
    <col min="44" max="44" width="4.140625" style="34" customWidth="1"/>
    <col min="45" max="45" width="3.5703125" style="34" customWidth="1"/>
    <col min="46" max="46" width="2.85546875" style="26" hidden="1" customWidth="1"/>
    <col min="47" max="47" width="0.7109375" style="29" hidden="1" customWidth="1"/>
    <col min="48" max="48" width="3.28515625" style="21" customWidth="1"/>
    <col min="49" max="49" width="0.7109375" style="25" customWidth="1"/>
    <col min="50" max="50" width="4.5703125" style="202" customWidth="1"/>
    <col min="51" max="51" width="6" style="404" customWidth="1"/>
    <col min="52" max="52" width="9.140625" style="203" hidden="1" customWidth="1"/>
    <col min="53" max="53" width="5.140625" style="5" hidden="1" customWidth="1"/>
    <col min="54" max="54" width="10.85546875" style="23" hidden="1" customWidth="1"/>
    <col min="55" max="55" width="4.7109375" style="22" hidden="1" customWidth="1"/>
    <col min="56" max="56" width="3.42578125" style="26" hidden="1" customWidth="1"/>
    <col min="57" max="57" width="5.85546875" style="27" hidden="1" customWidth="1"/>
    <col min="58" max="58" width="4.42578125" style="24" hidden="1" customWidth="1"/>
    <col min="59" max="59" width="4.140625" style="26" hidden="1" customWidth="1"/>
    <col min="60" max="60" width="4.7109375" style="24" hidden="1" customWidth="1"/>
    <col min="61" max="61" width="7.5703125" style="27" hidden="1" customWidth="1"/>
    <col min="62" max="62" width="10" style="26" hidden="1" customWidth="1"/>
    <col min="63" max="63" width="8.7109375" style="204" hidden="1" customWidth="1"/>
    <col min="64" max="64" width="4.7109375" style="205" hidden="1" customWidth="1"/>
    <col min="65" max="65" width="4.5703125" style="206" hidden="1" customWidth="1"/>
    <col min="66" max="66" width="2.42578125" style="5" hidden="1" customWidth="1"/>
    <col min="67" max="67" width="7" style="5" hidden="1" customWidth="1"/>
    <col min="68" max="68" width="3" style="5" hidden="1" customWidth="1"/>
    <col min="69" max="69" width="4.7109375" style="5" hidden="1" customWidth="1"/>
    <col min="70" max="70" width="5.5703125" style="207" hidden="1" customWidth="1"/>
    <col min="71" max="71" width="0.5703125" style="208" hidden="1" customWidth="1"/>
    <col min="72" max="72" width="6.42578125" style="37" hidden="1" customWidth="1"/>
    <col min="73" max="73" width="5.42578125" style="20" hidden="1" customWidth="1"/>
    <col min="74" max="74" width="8.85546875" style="33" hidden="1" customWidth="1"/>
    <col min="75" max="75" width="9.5703125" style="84" hidden="1" customWidth="1"/>
    <col min="76" max="76" width="41.28515625" style="7" hidden="1" customWidth="1"/>
    <col min="77" max="77" width="50.140625" style="7" hidden="1" customWidth="1"/>
    <col min="78" max="78" width="14" style="8" hidden="1" customWidth="1"/>
    <col min="79" max="79" width="8.5703125" style="38" hidden="1" customWidth="1"/>
    <col min="80" max="80" width="4.7109375" style="7" hidden="1" customWidth="1"/>
    <col min="81" max="81" width="4.7109375" style="5" hidden="1" customWidth="1"/>
    <col min="82" max="82" width="7.140625" style="21" hidden="1" customWidth="1"/>
    <col min="83" max="83" width="5.7109375" style="39" hidden="1" customWidth="1"/>
    <col min="84" max="84" width="5.140625" style="8" hidden="1" customWidth="1"/>
    <col min="85" max="87" width="9.28515625" style="5" hidden="1" customWidth="1"/>
    <col min="88" max="88" width="0" style="5" hidden="1" customWidth="1"/>
    <col min="89" max="98" width="9.28515625" style="5" hidden="1" customWidth="1"/>
    <col min="99" max="101" width="0" style="5" hidden="1" customWidth="1"/>
    <col min="102" max="103" width="9.28515625" style="5" hidden="1" customWidth="1"/>
    <col min="104" max="104" width="11.7109375" style="5" hidden="1" customWidth="1"/>
    <col min="105" max="105" width="0" style="5" hidden="1" customWidth="1"/>
    <col min="106" max="106" width="18.28515625" style="5" hidden="1" customWidth="1"/>
    <col min="107" max="107" width="9.28515625" style="5" hidden="1" customWidth="1"/>
    <col min="108" max="120" width="0" style="5" hidden="1" customWidth="1"/>
    <col min="121" max="121" width="9.28515625" style="5" hidden="1" customWidth="1"/>
    <col min="122" max="122" width="0" style="5" hidden="1" customWidth="1"/>
    <col min="123" max="123" width="9.28515625" style="5" hidden="1" customWidth="1"/>
    <col min="124" max="127" width="0" style="5" hidden="1" customWidth="1"/>
    <col min="128" max="128" width="9.28515625" style="5" hidden="1" customWidth="1"/>
    <col min="129" max="171" width="0" style="5" hidden="1" customWidth="1"/>
    <col min="172" max="219" width="9.140625" style="17"/>
    <col min="220" max="16384" width="9.140625" style="5"/>
  </cols>
  <sheetData>
    <row r="1" spans="1:219" s="93" customFormat="1" ht="18.75" customHeight="1" x14ac:dyDescent="0.3">
      <c r="A1" s="91"/>
      <c r="B1" s="788" t="s">
        <v>72</v>
      </c>
      <c r="C1" s="788"/>
      <c r="D1" s="788"/>
      <c r="E1" s="788"/>
      <c r="F1" s="788"/>
      <c r="G1" s="788"/>
      <c r="H1" s="788"/>
      <c r="I1" s="788"/>
      <c r="J1" s="788"/>
      <c r="K1" s="788"/>
      <c r="L1" s="788"/>
      <c r="M1" s="788"/>
      <c r="N1" s="788"/>
      <c r="O1" s="788"/>
      <c r="P1" s="788"/>
      <c r="Q1" s="788"/>
      <c r="R1" s="788"/>
      <c r="S1" s="92"/>
      <c r="T1" s="92"/>
      <c r="U1" s="158"/>
      <c r="V1" s="789" t="s">
        <v>16</v>
      </c>
      <c r="W1" s="789"/>
      <c r="X1" s="789"/>
      <c r="Y1" s="789"/>
      <c r="Z1" s="789"/>
      <c r="AA1" s="789"/>
      <c r="AB1" s="789"/>
      <c r="AC1" s="789"/>
      <c r="AD1" s="789"/>
      <c r="AE1" s="789"/>
      <c r="AF1" s="789"/>
      <c r="AG1" s="789"/>
      <c r="AH1" s="789"/>
      <c r="AI1" s="789"/>
      <c r="AJ1" s="789"/>
      <c r="AK1" s="789"/>
      <c r="AL1" s="789"/>
      <c r="AM1" s="789"/>
      <c r="AN1" s="789"/>
      <c r="AO1" s="789"/>
      <c r="AP1" s="789"/>
      <c r="AQ1" s="789"/>
      <c r="AR1" s="92"/>
      <c r="AS1" s="92"/>
      <c r="AT1" s="92"/>
      <c r="AU1" s="390"/>
      <c r="AV1" s="92"/>
      <c r="AW1" s="390"/>
      <c r="AX1" s="92"/>
      <c r="AY1" s="263"/>
      <c r="BV1" s="154"/>
      <c r="BW1" s="154"/>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row>
    <row r="2" spans="1:219" s="93" customFormat="1" x14ac:dyDescent="0.3">
      <c r="A2" s="91"/>
      <c r="B2" s="789" t="s">
        <v>6</v>
      </c>
      <c r="C2" s="789"/>
      <c r="D2" s="789"/>
      <c r="E2" s="789"/>
      <c r="F2" s="789"/>
      <c r="G2" s="789"/>
      <c r="H2" s="789"/>
      <c r="I2" s="789"/>
      <c r="J2" s="789"/>
      <c r="K2" s="789"/>
      <c r="L2" s="789"/>
      <c r="M2" s="789"/>
      <c r="N2" s="789"/>
      <c r="O2" s="789"/>
      <c r="P2" s="789"/>
      <c r="Q2" s="789"/>
      <c r="R2" s="789"/>
      <c r="S2" s="92"/>
      <c r="T2" s="92"/>
      <c r="U2" s="158"/>
      <c r="V2" s="790" t="s">
        <v>17</v>
      </c>
      <c r="W2" s="790"/>
      <c r="X2" s="790"/>
      <c r="Y2" s="790"/>
      <c r="Z2" s="790"/>
      <c r="AA2" s="790"/>
      <c r="AB2" s="790"/>
      <c r="AC2" s="790"/>
      <c r="AD2" s="790"/>
      <c r="AE2" s="790"/>
      <c r="AF2" s="790"/>
      <c r="AG2" s="790"/>
      <c r="AH2" s="790"/>
      <c r="AI2" s="790"/>
      <c r="AJ2" s="790"/>
      <c r="AK2" s="790"/>
      <c r="AL2" s="790"/>
      <c r="AM2" s="790"/>
      <c r="AN2" s="790"/>
      <c r="AO2" s="790"/>
      <c r="AP2" s="790"/>
      <c r="AQ2" s="790"/>
      <c r="AR2" s="92"/>
      <c r="AS2" s="92"/>
      <c r="AT2" s="92"/>
      <c r="AU2" s="390"/>
      <c r="AV2" s="92"/>
      <c r="AW2" s="390"/>
      <c r="AX2" s="92"/>
      <c r="AY2" s="263"/>
      <c r="BV2" s="154"/>
      <c r="BW2" s="154"/>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c r="GQ2" s="30"/>
      <c r="GR2" s="30"/>
      <c r="GS2" s="30"/>
      <c r="GT2" s="30"/>
      <c r="GU2" s="30"/>
      <c r="GV2" s="30"/>
      <c r="GW2" s="30"/>
      <c r="GX2" s="30"/>
      <c r="GY2" s="30"/>
      <c r="GZ2" s="30"/>
      <c r="HA2" s="30"/>
      <c r="HB2" s="30"/>
      <c r="HC2" s="30"/>
      <c r="HD2" s="30"/>
      <c r="HE2" s="30"/>
      <c r="HF2" s="30"/>
      <c r="HG2" s="30"/>
      <c r="HH2" s="30"/>
      <c r="HI2" s="30"/>
      <c r="HJ2" s="30"/>
      <c r="HK2" s="30"/>
    </row>
    <row r="3" spans="1:219" s="173" customFormat="1" ht="25.5" customHeight="1" x14ac:dyDescent="0.25">
      <c r="A3" s="75"/>
      <c r="B3" s="75"/>
      <c r="C3" s="75"/>
      <c r="D3" s="168"/>
      <c r="E3" s="75"/>
      <c r="F3" s="169"/>
      <c r="G3" s="75"/>
      <c r="H3" s="75"/>
      <c r="I3" s="75"/>
      <c r="J3" s="75"/>
      <c r="K3" s="75"/>
      <c r="L3" s="75"/>
      <c r="M3" s="75"/>
      <c r="N3" s="75"/>
      <c r="O3" s="75"/>
      <c r="P3" s="75"/>
      <c r="Q3" s="168"/>
      <c r="R3" s="170"/>
      <c r="S3" s="171"/>
      <c r="T3" s="171"/>
      <c r="U3" s="172"/>
      <c r="V3" s="791" t="s">
        <v>243</v>
      </c>
      <c r="W3" s="791"/>
      <c r="X3" s="791"/>
      <c r="Y3" s="791"/>
      <c r="Z3" s="791"/>
      <c r="AA3" s="791"/>
      <c r="AB3" s="791"/>
      <c r="AC3" s="791"/>
      <c r="AD3" s="791"/>
      <c r="AE3" s="791"/>
      <c r="AF3" s="791"/>
      <c r="AG3" s="791"/>
      <c r="AH3" s="791"/>
      <c r="AI3" s="791"/>
      <c r="AJ3" s="791"/>
      <c r="AK3" s="791"/>
      <c r="AL3" s="791"/>
      <c r="AM3" s="791"/>
      <c r="AN3" s="791"/>
      <c r="AO3" s="791"/>
      <c r="AP3" s="791"/>
      <c r="AQ3" s="791"/>
      <c r="AR3" s="194"/>
      <c r="AS3" s="194"/>
      <c r="AT3" s="194"/>
      <c r="AU3" s="391"/>
      <c r="AV3" s="194"/>
      <c r="AW3" s="391"/>
      <c r="AX3" s="194"/>
      <c r="AY3" s="402"/>
      <c r="AZ3" s="194"/>
      <c r="BA3" s="194"/>
      <c r="BB3" s="194"/>
      <c r="BC3" s="194"/>
      <c r="BD3" s="194"/>
      <c r="BE3" s="194"/>
      <c r="BF3" s="194"/>
      <c r="BG3" s="194"/>
      <c r="BH3" s="194"/>
      <c r="BI3" s="194"/>
      <c r="BJ3" s="194"/>
      <c r="BK3" s="194"/>
      <c r="BL3" s="194"/>
      <c r="BM3" s="194"/>
      <c r="BN3" s="194"/>
      <c r="BO3" s="194"/>
      <c r="BP3" s="194"/>
      <c r="BQ3" s="194"/>
      <c r="BR3" s="194"/>
      <c r="BS3" s="194"/>
      <c r="BU3" s="194"/>
      <c r="BV3" s="174"/>
      <c r="BW3" s="174"/>
      <c r="BY3" s="175"/>
      <c r="FP3" s="675"/>
      <c r="FQ3" s="675"/>
      <c r="FR3" s="675"/>
      <c r="FS3" s="675"/>
      <c r="FT3" s="675"/>
      <c r="FU3" s="675"/>
      <c r="FV3" s="675"/>
      <c r="FW3" s="675"/>
      <c r="FX3" s="675"/>
      <c r="FY3" s="675"/>
      <c r="FZ3" s="675"/>
      <c r="GA3" s="675"/>
      <c r="GB3" s="675"/>
      <c r="GC3" s="675"/>
      <c r="GD3" s="675"/>
      <c r="GE3" s="675"/>
      <c r="GF3" s="675"/>
      <c r="GG3" s="675"/>
      <c r="GH3" s="675"/>
      <c r="GI3" s="675"/>
      <c r="GJ3" s="675"/>
      <c r="GK3" s="675"/>
      <c r="GL3" s="675"/>
      <c r="GM3" s="675"/>
      <c r="GN3" s="675"/>
      <c r="GO3" s="675"/>
      <c r="GP3" s="675"/>
      <c r="GQ3" s="675"/>
      <c r="GR3" s="675"/>
      <c r="GS3" s="675"/>
      <c r="GT3" s="675"/>
      <c r="GU3" s="675"/>
      <c r="GV3" s="675"/>
      <c r="GW3" s="675"/>
      <c r="GX3" s="675"/>
      <c r="GY3" s="675"/>
      <c r="GZ3" s="675"/>
      <c r="HA3" s="675"/>
      <c r="HB3" s="675"/>
      <c r="HC3" s="675"/>
      <c r="HD3" s="675"/>
      <c r="HE3" s="675"/>
      <c r="HF3" s="675"/>
      <c r="HG3" s="675"/>
      <c r="HH3" s="675"/>
      <c r="HI3" s="675"/>
      <c r="HJ3" s="675"/>
      <c r="HK3" s="675"/>
    </row>
    <row r="4" spans="1:219" s="502" customFormat="1" ht="57" customHeight="1" x14ac:dyDescent="0.3">
      <c r="A4" s="497"/>
      <c r="B4" s="792" t="s">
        <v>244</v>
      </c>
      <c r="C4" s="792"/>
      <c r="D4" s="792"/>
      <c r="E4" s="792"/>
      <c r="F4" s="792"/>
      <c r="G4" s="792"/>
      <c r="H4" s="792"/>
      <c r="I4" s="792"/>
      <c r="J4" s="792"/>
      <c r="K4" s="792"/>
      <c r="L4" s="792"/>
      <c r="M4" s="792"/>
      <c r="N4" s="792"/>
      <c r="O4" s="792"/>
      <c r="P4" s="792"/>
      <c r="Q4" s="792"/>
      <c r="R4" s="792"/>
      <c r="S4" s="792"/>
      <c r="T4" s="792"/>
      <c r="U4" s="792"/>
      <c r="V4" s="792"/>
      <c r="W4" s="792"/>
      <c r="X4" s="792"/>
      <c r="Y4" s="792"/>
      <c r="Z4" s="792"/>
      <c r="AA4" s="792"/>
      <c r="AB4" s="792"/>
      <c r="AC4" s="792"/>
      <c r="AD4" s="792"/>
      <c r="AE4" s="792"/>
      <c r="AF4" s="792"/>
      <c r="AG4" s="792"/>
      <c r="AH4" s="792"/>
      <c r="AI4" s="792"/>
      <c r="AJ4" s="792"/>
      <c r="AK4" s="792"/>
      <c r="AL4" s="792"/>
      <c r="AM4" s="792"/>
      <c r="AN4" s="792"/>
      <c r="AO4" s="792"/>
      <c r="AP4" s="792"/>
      <c r="AQ4" s="792"/>
      <c r="AR4" s="792"/>
      <c r="AS4" s="792"/>
      <c r="AT4" s="792"/>
      <c r="AU4" s="792"/>
      <c r="AV4" s="792"/>
      <c r="AW4" s="792"/>
      <c r="AX4" s="792"/>
      <c r="AY4" s="792"/>
      <c r="AZ4" s="494"/>
      <c r="BA4" s="494"/>
      <c r="BB4" s="494"/>
      <c r="BC4" s="494"/>
      <c r="BD4" s="494"/>
      <c r="BE4" s="494"/>
      <c r="BF4" s="494"/>
      <c r="BG4" s="494"/>
      <c r="BH4" s="494"/>
      <c r="BI4" s="494"/>
      <c r="BJ4" s="494"/>
      <c r="BK4" s="494"/>
      <c r="BL4" s="494"/>
      <c r="BM4" s="494"/>
      <c r="BN4" s="494"/>
      <c r="BO4" s="494"/>
      <c r="BP4" s="494"/>
      <c r="BQ4" s="494"/>
      <c r="BR4" s="494"/>
      <c r="BS4" s="494"/>
      <c r="BT4" s="494"/>
      <c r="BU4" s="494"/>
      <c r="BV4" s="498"/>
      <c r="BW4" s="499"/>
      <c r="BX4" s="500"/>
      <c r="BY4" s="501"/>
      <c r="FP4" s="676"/>
      <c r="FQ4" s="676"/>
      <c r="FR4" s="676"/>
      <c r="FS4" s="676"/>
      <c r="FT4" s="676"/>
      <c r="FU4" s="676"/>
      <c r="FV4" s="676"/>
      <c r="FW4" s="676"/>
      <c r="FX4" s="676"/>
      <c r="FY4" s="676"/>
      <c r="FZ4" s="676"/>
      <c r="GA4" s="676"/>
      <c r="GB4" s="676"/>
      <c r="GC4" s="676"/>
      <c r="GD4" s="676"/>
      <c r="GE4" s="676"/>
      <c r="GF4" s="676"/>
      <c r="GG4" s="676"/>
      <c r="GH4" s="676"/>
      <c r="GI4" s="676"/>
      <c r="GJ4" s="676"/>
      <c r="GK4" s="676"/>
      <c r="GL4" s="676"/>
      <c r="GM4" s="676"/>
      <c r="GN4" s="676"/>
      <c r="GO4" s="676"/>
      <c r="GP4" s="676"/>
      <c r="GQ4" s="676"/>
      <c r="GR4" s="676"/>
      <c r="GS4" s="676"/>
      <c r="GT4" s="676"/>
      <c r="GU4" s="676"/>
      <c r="GV4" s="676"/>
      <c r="GW4" s="676"/>
      <c r="GX4" s="676"/>
      <c r="GY4" s="676"/>
      <c r="GZ4" s="676"/>
      <c r="HA4" s="676"/>
      <c r="HB4" s="676"/>
      <c r="HC4" s="676"/>
      <c r="HD4" s="676"/>
      <c r="HE4" s="676"/>
      <c r="HF4" s="676"/>
      <c r="HG4" s="676"/>
      <c r="HH4" s="676"/>
      <c r="HI4" s="676"/>
      <c r="HJ4" s="676"/>
      <c r="HK4" s="676"/>
    </row>
    <row r="5" spans="1:219" s="247" customFormat="1" ht="20.25" customHeight="1" x14ac:dyDescent="0.25">
      <c r="A5" s="219"/>
      <c r="B5" s="220" t="s">
        <v>111</v>
      </c>
      <c r="C5" s="219"/>
      <c r="D5" s="221"/>
      <c r="E5" s="222"/>
      <c r="F5" s="223"/>
      <c r="G5" s="221"/>
      <c r="H5" s="221"/>
      <c r="I5" s="221"/>
      <c r="J5" s="222"/>
      <c r="K5" s="222"/>
      <c r="L5" s="222"/>
      <c r="M5" s="222"/>
      <c r="N5" s="222"/>
      <c r="O5" s="222"/>
      <c r="P5" s="222"/>
      <c r="Q5" s="220"/>
      <c r="R5" s="220"/>
      <c r="S5" s="220"/>
      <c r="T5" s="224"/>
      <c r="U5" s="224"/>
      <c r="V5" s="224"/>
      <c r="W5" s="225"/>
      <c r="X5" s="226"/>
      <c r="Y5" s="227"/>
      <c r="Z5" s="226"/>
      <c r="AA5" s="226"/>
      <c r="AB5" s="221"/>
      <c r="AC5" s="229"/>
      <c r="AD5" s="229"/>
      <c r="AE5" s="230"/>
      <c r="AF5" s="231"/>
      <c r="AG5" s="228"/>
      <c r="AH5" s="229"/>
      <c r="AI5" s="229"/>
      <c r="AJ5" s="232"/>
      <c r="AK5" s="222"/>
      <c r="AL5" s="233"/>
      <c r="AM5" s="233"/>
      <c r="AN5" s="234"/>
      <c r="AO5" s="234"/>
      <c r="AP5" s="235"/>
      <c r="AQ5" s="397"/>
      <c r="AR5" s="236"/>
      <c r="AS5" s="237"/>
      <c r="AT5" s="221"/>
      <c r="AU5" s="229"/>
      <c r="AV5" s="238"/>
      <c r="AW5" s="220"/>
      <c r="AX5" s="239"/>
      <c r="AY5" s="69"/>
      <c r="AZ5" s="240"/>
      <c r="BA5" s="230"/>
      <c r="BB5" s="228"/>
      <c r="BC5" s="239"/>
      <c r="BD5" s="230"/>
      <c r="BE5" s="241"/>
      <c r="BF5" s="242"/>
      <c r="BG5" s="243"/>
      <c r="BH5" s="228"/>
      <c r="BI5" s="228"/>
      <c r="BJ5" s="244"/>
      <c r="BK5" s="244"/>
      <c r="BL5" s="240"/>
      <c r="BM5" s="231"/>
      <c r="BN5" s="245"/>
      <c r="BO5" s="245"/>
      <c r="BP5" s="65"/>
      <c r="BQ5" s="246"/>
      <c r="BR5" s="246"/>
      <c r="BS5" s="246"/>
      <c r="BT5" s="246"/>
      <c r="BU5" s="67"/>
      <c r="BW5" s="65"/>
      <c r="BX5" s="65"/>
      <c r="BY5" s="65"/>
      <c r="BZ5" s="65"/>
      <c r="FP5" s="221"/>
      <c r="FQ5" s="221"/>
      <c r="FR5" s="221"/>
      <c r="FS5" s="221"/>
      <c r="FT5" s="221"/>
      <c r="FU5" s="221"/>
      <c r="FV5" s="221"/>
      <c r="FW5" s="221"/>
      <c r="FX5" s="221"/>
      <c r="FY5" s="221"/>
      <c r="FZ5" s="221"/>
      <c r="GA5" s="221"/>
      <c r="GB5" s="221"/>
      <c r="GC5" s="221"/>
      <c r="GD5" s="221"/>
      <c r="GE5" s="221"/>
      <c r="GF5" s="221"/>
      <c r="GG5" s="221"/>
      <c r="GH5" s="221"/>
      <c r="GI5" s="221"/>
      <c r="GJ5" s="221"/>
      <c r="GK5" s="221"/>
      <c r="GL5" s="221"/>
      <c r="GM5" s="221"/>
      <c r="GN5" s="221"/>
      <c r="GO5" s="221"/>
      <c r="GP5" s="221"/>
      <c r="GQ5" s="221"/>
      <c r="GR5" s="221"/>
      <c r="GS5" s="221"/>
      <c r="GT5" s="221"/>
      <c r="GU5" s="221"/>
      <c r="GV5" s="221"/>
      <c r="GW5" s="221"/>
      <c r="GX5" s="221"/>
      <c r="GY5" s="221"/>
      <c r="GZ5" s="221"/>
      <c r="HA5" s="221"/>
      <c r="HB5" s="221"/>
      <c r="HC5" s="221"/>
      <c r="HD5" s="221"/>
      <c r="HE5" s="221"/>
      <c r="HF5" s="221"/>
      <c r="HG5" s="221"/>
      <c r="HH5" s="221"/>
      <c r="HI5" s="221"/>
      <c r="HJ5" s="221"/>
      <c r="HK5" s="221"/>
    </row>
    <row r="6" spans="1:219" s="247" customFormat="1" ht="15.75" x14ac:dyDescent="0.25">
      <c r="A6" s="219"/>
      <c r="B6" s="220"/>
      <c r="C6" s="219"/>
      <c r="D6" s="222" t="s">
        <v>87</v>
      </c>
      <c r="E6" s="222" t="s">
        <v>110</v>
      </c>
      <c r="F6" s="223"/>
      <c r="G6" s="221"/>
      <c r="H6" s="221"/>
      <c r="I6" s="221"/>
      <c r="J6" s="222"/>
      <c r="K6" s="222"/>
      <c r="L6" s="222"/>
      <c r="M6" s="222"/>
      <c r="N6" s="222"/>
      <c r="O6" s="222"/>
      <c r="P6" s="222"/>
      <c r="Q6" s="220"/>
      <c r="R6" s="220"/>
      <c r="S6" s="220"/>
      <c r="T6" s="224"/>
      <c r="U6" s="224"/>
      <c r="V6" s="224"/>
      <c r="W6" s="225"/>
      <c r="X6" s="226"/>
      <c r="Y6" s="227"/>
      <c r="Z6" s="226"/>
      <c r="AA6" s="226"/>
      <c r="AB6" s="221"/>
      <c r="AC6" s="229"/>
      <c r="AD6" s="229"/>
      <c r="AE6" s="230"/>
      <c r="AF6" s="231"/>
      <c r="AG6" s="228"/>
      <c r="AH6" s="229"/>
      <c r="AI6" s="229"/>
      <c r="AJ6" s="232"/>
      <c r="AK6" s="222"/>
      <c r="AL6" s="233"/>
      <c r="AM6" s="233"/>
      <c r="AN6" s="234"/>
      <c r="AO6" s="234"/>
      <c r="AP6" s="235"/>
      <c r="AQ6" s="397"/>
      <c r="AR6" s="236"/>
      <c r="AS6" s="237"/>
      <c r="AT6" s="221"/>
      <c r="AU6" s="229"/>
      <c r="AV6" s="238"/>
      <c r="AW6" s="220"/>
      <c r="AX6" s="239"/>
      <c r="AY6" s="69"/>
      <c r="AZ6" s="240"/>
      <c r="BA6" s="230"/>
      <c r="BB6" s="228"/>
      <c r="BC6" s="239"/>
      <c r="BD6" s="230"/>
      <c r="BE6" s="241"/>
      <c r="BF6" s="242"/>
      <c r="BG6" s="243"/>
      <c r="BH6" s="228"/>
      <c r="BI6" s="228"/>
      <c r="BJ6" s="244"/>
      <c r="BK6" s="244"/>
      <c r="BL6" s="240"/>
      <c r="BM6" s="231"/>
      <c r="BN6" s="245"/>
      <c r="BO6" s="245"/>
      <c r="BP6" s="65"/>
      <c r="BQ6" s="246"/>
      <c r="BR6" s="246"/>
      <c r="BS6" s="246"/>
      <c r="BT6" s="246"/>
      <c r="BU6" s="67"/>
      <c r="BW6" s="65"/>
      <c r="BX6" s="65"/>
      <c r="BY6" s="65"/>
      <c r="BZ6" s="65"/>
      <c r="FP6" s="221"/>
      <c r="FQ6" s="221"/>
      <c r="FR6" s="221"/>
      <c r="FS6" s="221"/>
      <c r="FT6" s="221"/>
      <c r="FU6" s="221"/>
      <c r="FV6" s="221"/>
      <c r="FW6" s="221"/>
      <c r="FX6" s="221"/>
      <c r="FY6" s="221"/>
      <c r="FZ6" s="221"/>
      <c r="GA6" s="221"/>
      <c r="GB6" s="221"/>
      <c r="GC6" s="221"/>
      <c r="GD6" s="221"/>
      <c r="GE6" s="221"/>
      <c r="GF6" s="221"/>
      <c r="GG6" s="221"/>
      <c r="GH6" s="221"/>
      <c r="GI6" s="221"/>
      <c r="GJ6" s="221"/>
      <c r="GK6" s="221"/>
      <c r="GL6" s="221"/>
      <c r="GM6" s="221"/>
      <c r="GN6" s="221"/>
      <c r="GO6" s="221"/>
      <c r="GP6" s="221"/>
      <c r="GQ6" s="221"/>
      <c r="GR6" s="221"/>
      <c r="GS6" s="221"/>
      <c r="GT6" s="221"/>
      <c r="GU6" s="221"/>
      <c r="GV6" s="221"/>
      <c r="GW6" s="221"/>
      <c r="GX6" s="221"/>
      <c r="GY6" s="221"/>
      <c r="GZ6" s="221"/>
      <c r="HA6" s="221"/>
      <c r="HB6" s="221"/>
      <c r="HC6" s="221"/>
      <c r="HD6" s="221"/>
      <c r="HE6" s="221"/>
      <c r="HF6" s="221"/>
      <c r="HG6" s="221"/>
      <c r="HH6" s="221"/>
      <c r="HI6" s="221"/>
      <c r="HJ6" s="221"/>
      <c r="HK6" s="221"/>
    </row>
    <row r="7" spans="1:219" s="245" customFormat="1" thickBot="1" x14ac:dyDescent="0.3">
      <c r="A7" s="248"/>
      <c r="B7" s="233"/>
      <c r="C7" s="219"/>
      <c r="D7" s="221" t="s">
        <v>90</v>
      </c>
      <c r="E7" s="221" t="s">
        <v>245</v>
      </c>
      <c r="F7" s="221"/>
      <c r="G7" s="221"/>
      <c r="H7" s="221"/>
      <c r="I7" s="221"/>
      <c r="J7" s="221"/>
      <c r="K7" s="221"/>
      <c r="L7" s="221"/>
      <c r="M7" s="221"/>
      <c r="N7" s="221"/>
      <c r="O7" s="221"/>
      <c r="P7" s="221"/>
      <c r="Q7" s="221"/>
      <c r="R7" s="221"/>
      <c r="S7" s="221"/>
      <c r="T7" s="221"/>
      <c r="U7" s="221"/>
      <c r="V7" s="221"/>
      <c r="W7" s="221"/>
      <c r="X7" s="221"/>
      <c r="Y7" s="221"/>
      <c r="Z7" s="221"/>
      <c r="AA7" s="221"/>
      <c r="AB7" s="221"/>
      <c r="AC7" s="220"/>
      <c r="AD7" s="221"/>
      <c r="AE7" s="221"/>
      <c r="AF7" s="221"/>
      <c r="AG7" s="228"/>
      <c r="AH7" s="229"/>
      <c r="AI7" s="229"/>
      <c r="AJ7" s="249"/>
      <c r="AK7" s="392"/>
      <c r="AL7" s="250"/>
      <c r="AM7" s="250"/>
      <c r="AN7" s="250"/>
      <c r="AO7" s="251"/>
      <c r="AP7" s="252"/>
      <c r="AQ7" s="397"/>
      <c r="AR7" s="236"/>
      <c r="AS7" s="237"/>
      <c r="AT7" s="221"/>
      <c r="AU7" s="229"/>
      <c r="AV7" s="233"/>
      <c r="AW7" s="220"/>
      <c r="AX7" s="239"/>
      <c r="AY7" s="69"/>
      <c r="AZ7" s="230"/>
      <c r="BA7" s="230"/>
      <c r="BB7" s="228"/>
      <c r="BC7" s="239"/>
      <c r="BD7" s="230"/>
      <c r="BE7" s="239"/>
      <c r="BF7" s="242"/>
      <c r="BG7" s="243"/>
      <c r="BH7" s="228"/>
      <c r="BI7" s="228"/>
      <c r="BJ7" s="244"/>
      <c r="BK7" s="244"/>
      <c r="BL7" s="230"/>
      <c r="BM7" s="231"/>
      <c r="BQ7" s="246"/>
      <c r="BR7" s="246"/>
      <c r="BS7" s="246"/>
      <c r="BT7" s="246"/>
      <c r="FP7" s="219"/>
      <c r="FQ7" s="219"/>
      <c r="FR7" s="219"/>
      <c r="FS7" s="219"/>
      <c r="FT7" s="219"/>
      <c r="FU7" s="219"/>
      <c r="FV7" s="219"/>
      <c r="FW7" s="219"/>
      <c r="FX7" s="219"/>
      <c r="FY7" s="219"/>
      <c r="FZ7" s="219"/>
      <c r="GA7" s="219"/>
      <c r="GB7" s="219"/>
      <c r="GC7" s="219"/>
      <c r="GD7" s="219"/>
      <c r="GE7" s="219"/>
      <c r="GF7" s="219"/>
      <c r="GG7" s="219"/>
      <c r="GH7" s="219"/>
      <c r="GI7" s="219"/>
      <c r="GJ7" s="219"/>
      <c r="GK7" s="219"/>
      <c r="GL7" s="219"/>
      <c r="GM7" s="219"/>
      <c r="GN7" s="219"/>
      <c r="GO7" s="219"/>
      <c r="GP7" s="219"/>
      <c r="GQ7" s="219"/>
      <c r="GR7" s="219"/>
      <c r="GS7" s="219"/>
      <c r="GT7" s="219"/>
      <c r="GU7" s="219"/>
      <c r="GV7" s="219"/>
      <c r="GW7" s="219"/>
      <c r="GX7" s="219"/>
      <c r="GY7" s="219"/>
      <c r="GZ7" s="219"/>
      <c r="HA7" s="219"/>
      <c r="HB7" s="219"/>
      <c r="HC7" s="219"/>
      <c r="HD7" s="219"/>
      <c r="HE7" s="219"/>
      <c r="HF7" s="219"/>
      <c r="HG7" s="219"/>
      <c r="HH7" s="219"/>
      <c r="HI7" s="219"/>
      <c r="HJ7" s="219"/>
      <c r="HK7" s="219"/>
    </row>
    <row r="8" spans="1:219" s="260" customFormat="1" ht="15" customHeight="1" thickTop="1" x14ac:dyDescent="0.25">
      <c r="A8" s="221"/>
      <c r="B8" s="233" t="s">
        <v>10</v>
      </c>
      <c r="C8" s="219"/>
      <c r="D8" s="220" t="s">
        <v>88</v>
      </c>
      <c r="E8" s="220" t="s">
        <v>88</v>
      </c>
      <c r="F8" s="223"/>
      <c r="G8" s="221"/>
      <c r="H8" s="221"/>
      <c r="I8" s="221"/>
      <c r="J8" s="222"/>
      <c r="K8" s="222"/>
      <c r="L8" s="222"/>
      <c r="M8" s="222"/>
      <c r="N8" s="222"/>
      <c r="O8" s="222"/>
      <c r="P8" s="222"/>
      <c r="Q8" s="220"/>
      <c r="R8" s="220"/>
      <c r="S8" s="220"/>
      <c r="T8" s="224"/>
      <c r="U8" s="224"/>
      <c r="V8" s="224"/>
      <c r="W8" s="225"/>
      <c r="X8" s="226"/>
      <c r="Y8" s="227"/>
      <c r="Z8" s="226"/>
      <c r="AA8" s="226"/>
      <c r="AB8" s="221"/>
      <c r="AC8" s="229"/>
      <c r="AD8" s="229"/>
      <c r="AE8" s="230"/>
      <c r="AF8" s="231"/>
      <c r="AG8" s="228"/>
      <c r="AH8" s="229"/>
      <c r="AI8" s="229"/>
      <c r="AJ8" s="254"/>
      <c r="AK8" s="235"/>
      <c r="AL8" s="234"/>
      <c r="AM8" s="234"/>
      <c r="AN8" s="234"/>
      <c r="AO8" s="255"/>
      <c r="AP8" s="235"/>
      <c r="AQ8" s="397"/>
      <c r="AR8" s="236"/>
      <c r="AS8" s="237"/>
      <c r="AT8" s="221"/>
      <c r="AU8" s="229"/>
      <c r="AV8" s="238"/>
      <c r="AW8" s="220"/>
      <c r="AX8" s="239"/>
      <c r="AY8" s="69"/>
      <c r="AZ8" s="240"/>
      <c r="BA8" s="230"/>
      <c r="BB8" s="228"/>
      <c r="BC8" s="239"/>
      <c r="BD8" s="230"/>
      <c r="BE8" s="241"/>
      <c r="BF8" s="242"/>
      <c r="BG8" s="243"/>
      <c r="BH8" s="228"/>
      <c r="BI8" s="228"/>
      <c r="BJ8" s="244"/>
      <c r="BK8" s="244"/>
      <c r="BL8" s="240"/>
      <c r="BM8" s="231"/>
      <c r="BN8" s="245"/>
      <c r="BO8" s="256"/>
      <c r="BP8" s="256"/>
      <c r="BQ8" s="256"/>
      <c r="BR8" s="256"/>
      <c r="BS8" s="257"/>
      <c r="BT8" s="256"/>
      <c r="BU8" s="258"/>
      <c r="BV8" s="258"/>
      <c r="BW8" s="259"/>
      <c r="BX8" s="259"/>
      <c r="BY8" s="259"/>
      <c r="BZ8" s="259"/>
      <c r="CA8" s="259"/>
      <c r="CT8" s="256"/>
      <c r="CU8" s="253"/>
      <c r="CV8" s="261"/>
      <c r="CW8" s="257"/>
      <c r="CX8" s="261"/>
      <c r="CY8" s="261"/>
      <c r="CZ8" s="256"/>
      <c r="DA8" s="256"/>
      <c r="DB8" s="256"/>
      <c r="DC8" s="261"/>
      <c r="DD8" s="261"/>
      <c r="DE8" s="256"/>
      <c r="DF8" s="256"/>
    </row>
    <row r="9" spans="1:219" s="187" customFormat="1" ht="18" customHeight="1" x14ac:dyDescent="0.3">
      <c r="A9" s="221"/>
      <c r="B9" s="142"/>
      <c r="C9" s="142"/>
      <c r="D9" s="503" t="s">
        <v>38</v>
      </c>
      <c r="E9" s="195" t="s">
        <v>38</v>
      </c>
      <c r="F9" s="45">
        <v>19</v>
      </c>
      <c r="G9" s="47"/>
      <c r="H9" s="47"/>
      <c r="I9" s="48"/>
      <c r="J9" s="49"/>
      <c r="K9" s="49"/>
      <c r="L9" s="49"/>
      <c r="M9" s="46"/>
      <c r="N9" s="49"/>
      <c r="O9" s="49"/>
      <c r="P9" s="49"/>
      <c r="Q9" s="504" t="s">
        <v>82</v>
      </c>
      <c r="R9" s="46" t="s">
        <v>39</v>
      </c>
      <c r="S9" s="46"/>
      <c r="T9" s="46"/>
      <c r="U9" s="44"/>
      <c r="V9" s="491"/>
      <c r="W9" s="95"/>
      <c r="X9" s="45"/>
      <c r="Y9" s="47"/>
      <c r="Z9" s="47"/>
      <c r="AA9" s="46"/>
      <c r="AB9" s="47"/>
      <c r="AC9" s="46"/>
      <c r="AD9" s="47"/>
      <c r="AE9" s="46"/>
      <c r="AF9" s="46"/>
      <c r="AG9" s="46"/>
      <c r="AH9" s="144"/>
      <c r="AI9" s="386"/>
      <c r="AJ9" s="196"/>
      <c r="AK9" s="386"/>
      <c r="AL9" s="49"/>
      <c r="AM9" s="411"/>
      <c r="AN9" s="32"/>
      <c r="AO9" s="46"/>
      <c r="AP9" s="46"/>
      <c r="AQ9" s="398"/>
      <c r="AR9" s="143"/>
      <c r="AS9" s="143"/>
      <c r="AT9" s="144"/>
      <c r="AU9" s="386"/>
      <c r="AV9" s="196"/>
      <c r="AW9" s="386"/>
      <c r="AX9" s="49"/>
      <c r="AY9" s="403"/>
      <c r="AZ9" s="50"/>
      <c r="BA9" s="50"/>
      <c r="BB9" s="50"/>
      <c r="BC9" s="50"/>
      <c r="BD9" s="50"/>
      <c r="BE9" s="50"/>
      <c r="BF9" s="50"/>
      <c r="BG9" s="50"/>
      <c r="BH9" s="50"/>
      <c r="BI9" s="50"/>
      <c r="BJ9" s="50"/>
      <c r="BK9" s="50"/>
      <c r="BL9" s="50"/>
      <c r="BM9" s="50"/>
      <c r="BN9" s="50"/>
      <c r="BO9" s="50"/>
      <c r="BP9" s="50"/>
      <c r="BQ9" s="50"/>
      <c r="BR9" s="50"/>
      <c r="BS9" s="50"/>
      <c r="BT9" s="50"/>
      <c r="BU9" s="184"/>
      <c r="BV9" s="185"/>
      <c r="BW9" s="186"/>
      <c r="BY9" s="188"/>
      <c r="FP9" s="677"/>
      <c r="FQ9" s="677"/>
      <c r="FR9" s="677"/>
      <c r="FS9" s="677"/>
      <c r="FT9" s="677"/>
      <c r="FU9" s="677"/>
      <c r="FV9" s="677"/>
      <c r="FW9" s="677"/>
      <c r="FX9" s="677"/>
      <c r="FY9" s="677"/>
      <c r="FZ9" s="677"/>
      <c r="GA9" s="677"/>
      <c r="GB9" s="677"/>
      <c r="GC9" s="677"/>
      <c r="GD9" s="677"/>
      <c r="GE9" s="677"/>
      <c r="GF9" s="677"/>
      <c r="GG9" s="677"/>
      <c r="GH9" s="677"/>
      <c r="GI9" s="677"/>
      <c r="GJ9" s="677"/>
      <c r="GK9" s="677"/>
      <c r="GL9" s="677"/>
      <c r="GM9" s="677"/>
      <c r="GN9" s="677"/>
      <c r="GO9" s="677"/>
      <c r="GP9" s="677"/>
      <c r="GQ9" s="677"/>
      <c r="GR9" s="677"/>
      <c r="GS9" s="677"/>
      <c r="GT9" s="677"/>
      <c r="GU9" s="677"/>
      <c r="GV9" s="677"/>
      <c r="GW9" s="677"/>
      <c r="GX9" s="677"/>
      <c r="GY9" s="677"/>
      <c r="GZ9" s="677"/>
      <c r="HA9" s="677"/>
      <c r="HB9" s="677"/>
      <c r="HC9" s="677"/>
      <c r="HD9" s="677"/>
      <c r="HE9" s="677"/>
      <c r="HF9" s="677"/>
      <c r="HG9" s="677"/>
      <c r="HH9" s="677"/>
      <c r="HI9" s="677"/>
      <c r="HJ9" s="677"/>
      <c r="HK9" s="677"/>
    </row>
    <row r="10" spans="1:219" s="145" customFormat="1" ht="5.25" customHeight="1" x14ac:dyDescent="0.3">
      <c r="A10" s="144"/>
      <c r="B10" s="142"/>
      <c r="C10" s="142"/>
      <c r="D10" s="503"/>
      <c r="E10" s="197"/>
      <c r="F10" s="165"/>
      <c r="G10" s="47"/>
      <c r="H10" s="47"/>
      <c r="I10" s="48"/>
      <c r="J10" s="49"/>
      <c r="K10" s="49"/>
      <c r="L10" s="49"/>
      <c r="M10" s="49"/>
      <c r="N10" s="49"/>
      <c r="O10" s="49"/>
      <c r="P10" s="49"/>
      <c r="Q10" s="504"/>
      <c r="R10" s="46"/>
      <c r="S10" s="46"/>
      <c r="T10" s="46"/>
      <c r="U10" s="44"/>
      <c r="V10" s="491"/>
      <c r="W10" s="95"/>
      <c r="X10" s="45"/>
      <c r="Y10" s="47"/>
      <c r="Z10" s="47"/>
      <c r="AA10" s="46"/>
      <c r="AB10" s="47"/>
      <c r="AC10" s="46"/>
      <c r="AD10" s="47"/>
      <c r="AE10" s="46"/>
      <c r="AF10" s="46"/>
      <c r="AG10" s="46"/>
      <c r="AH10" s="144"/>
      <c r="AI10" s="386"/>
      <c r="AJ10" s="196"/>
      <c r="AK10" s="386"/>
      <c r="AL10" s="49"/>
      <c r="AM10" s="411"/>
      <c r="AN10" s="32"/>
      <c r="AO10" s="46"/>
      <c r="AP10" s="46"/>
      <c r="AQ10" s="398"/>
      <c r="AR10" s="143"/>
      <c r="AS10" s="143"/>
      <c r="AT10" s="144"/>
      <c r="AU10" s="386"/>
      <c r="AV10" s="196"/>
      <c r="AW10" s="386"/>
      <c r="AX10" s="49"/>
      <c r="AY10" s="403"/>
      <c r="AZ10" s="50"/>
      <c r="BA10" s="50"/>
      <c r="BB10" s="50"/>
      <c r="BC10" s="50"/>
      <c r="BD10" s="50"/>
      <c r="BE10" s="50"/>
      <c r="BF10" s="50"/>
      <c r="BG10" s="50"/>
      <c r="BH10" s="50"/>
      <c r="BI10" s="50"/>
      <c r="BJ10" s="50"/>
      <c r="BK10" s="50"/>
      <c r="BL10" s="50"/>
      <c r="BM10" s="50"/>
      <c r="BN10" s="50"/>
      <c r="BO10" s="50"/>
      <c r="BP10" s="50"/>
      <c r="BQ10" s="50"/>
      <c r="BR10" s="50"/>
      <c r="BS10" s="50"/>
      <c r="BT10" s="50"/>
      <c r="BU10" s="159"/>
      <c r="BV10" s="146"/>
      <c r="BW10" s="155"/>
      <c r="BY10" s="157"/>
      <c r="FP10" s="678"/>
      <c r="FQ10" s="678"/>
      <c r="FR10" s="678"/>
      <c r="FS10" s="678"/>
      <c r="FT10" s="678"/>
      <c r="FU10" s="678"/>
      <c r="FV10" s="678"/>
      <c r="FW10" s="678"/>
      <c r="FX10" s="678"/>
      <c r="FY10" s="678"/>
      <c r="FZ10" s="678"/>
      <c r="GA10" s="678"/>
      <c r="GB10" s="678"/>
      <c r="GC10" s="678"/>
      <c r="GD10" s="678"/>
      <c r="GE10" s="678"/>
      <c r="GF10" s="678"/>
      <c r="GG10" s="678"/>
      <c r="GH10" s="678"/>
      <c r="GI10" s="678"/>
      <c r="GJ10" s="678"/>
      <c r="GK10" s="678"/>
      <c r="GL10" s="678"/>
      <c r="GM10" s="678"/>
      <c r="GN10" s="678"/>
      <c r="GO10" s="678"/>
      <c r="GP10" s="678"/>
      <c r="GQ10" s="678"/>
      <c r="GR10" s="678"/>
      <c r="GS10" s="678"/>
      <c r="GT10" s="678"/>
      <c r="GU10" s="678"/>
      <c r="GV10" s="678"/>
      <c r="GW10" s="678"/>
      <c r="GX10" s="678"/>
      <c r="GY10" s="678"/>
      <c r="GZ10" s="678"/>
      <c r="HA10" s="678"/>
      <c r="HB10" s="678"/>
      <c r="HC10" s="678"/>
      <c r="HD10" s="678"/>
      <c r="HE10" s="678"/>
      <c r="HF10" s="678"/>
      <c r="HG10" s="678"/>
      <c r="HH10" s="678"/>
      <c r="HI10" s="678"/>
      <c r="HJ10" s="678"/>
      <c r="HK10" s="678"/>
    </row>
    <row r="11" spans="1:219" s="274" customFormat="1" ht="25.5" customHeight="1" x14ac:dyDescent="0.2">
      <c r="A11" s="272"/>
      <c r="B11" s="762" t="s">
        <v>115</v>
      </c>
      <c r="C11" s="273"/>
      <c r="D11" s="762" t="s">
        <v>5</v>
      </c>
      <c r="E11" s="762" t="s">
        <v>116</v>
      </c>
      <c r="F11" s="793" t="s">
        <v>117</v>
      </c>
      <c r="G11" s="405"/>
      <c r="H11" s="405"/>
      <c r="I11" s="405"/>
      <c r="J11" s="405"/>
      <c r="K11" s="275"/>
      <c r="L11" s="275"/>
      <c r="M11" s="785" t="s">
        <v>112</v>
      </c>
      <c r="N11" s="275"/>
      <c r="O11" s="275"/>
      <c r="P11" s="275"/>
      <c r="Q11" s="489"/>
      <c r="R11" s="800" t="s">
        <v>118</v>
      </c>
      <c r="S11" s="797"/>
      <c r="T11" s="587"/>
      <c r="U11" s="505"/>
      <c r="V11" s="796" t="s">
        <v>129</v>
      </c>
      <c r="W11" s="800"/>
      <c r="X11" s="797"/>
      <c r="Y11" s="762" t="s">
        <v>8</v>
      </c>
      <c r="Z11" s="273"/>
      <c r="AA11" s="506" t="s">
        <v>80</v>
      </c>
      <c r="AB11" s="772" t="s">
        <v>124</v>
      </c>
      <c r="AC11" s="773"/>
      <c r="AD11" s="773"/>
      <c r="AE11" s="773"/>
      <c r="AF11" s="773"/>
      <c r="AG11" s="773"/>
      <c r="AH11" s="773"/>
      <c r="AI11" s="773"/>
      <c r="AJ11" s="773"/>
      <c r="AK11" s="773"/>
      <c r="AL11" s="774"/>
      <c r="AM11" s="796" t="s">
        <v>121</v>
      </c>
      <c r="AN11" s="797"/>
      <c r="AO11" s="772" t="s">
        <v>128</v>
      </c>
      <c r="AP11" s="773"/>
      <c r="AQ11" s="773"/>
      <c r="AR11" s="773"/>
      <c r="AS11" s="773"/>
      <c r="AT11" s="773"/>
      <c r="AU11" s="773"/>
      <c r="AV11" s="773"/>
      <c r="AW11" s="773"/>
      <c r="AX11" s="774"/>
      <c r="AY11" s="776" t="s">
        <v>68</v>
      </c>
      <c r="AZ11" s="422"/>
      <c r="BA11" s="275"/>
      <c r="BB11" s="275"/>
      <c r="BC11" s="275"/>
      <c r="BD11" s="275"/>
      <c r="BE11" s="275"/>
      <c r="BF11" s="275"/>
      <c r="BG11" s="275"/>
      <c r="BH11" s="275"/>
      <c r="BI11" s="275"/>
      <c r="BJ11" s="765" t="s">
        <v>9</v>
      </c>
      <c r="BK11" s="275"/>
      <c r="BL11" s="275"/>
      <c r="BM11" s="275"/>
      <c r="BN11" s="275"/>
      <c r="BO11" s="275"/>
      <c r="BP11" s="275"/>
      <c r="BQ11" s="275"/>
      <c r="BR11" s="275"/>
      <c r="BS11" s="275"/>
      <c r="BT11" s="765" t="s">
        <v>9</v>
      </c>
      <c r="BU11" s="769" t="s">
        <v>68</v>
      </c>
      <c r="BV11" s="276"/>
      <c r="BW11" s="162"/>
      <c r="BX11" s="98"/>
      <c r="BY11" s="277"/>
      <c r="BZ11" s="98"/>
      <c r="CA11" s="278"/>
      <c r="CB11" s="270"/>
      <c r="CC11" s="269"/>
      <c r="CD11" s="279"/>
      <c r="CE11" s="98"/>
      <c r="CF11" s="98"/>
      <c r="CW11" s="280"/>
      <c r="CX11" s="269"/>
      <c r="CY11" s="265"/>
      <c r="CZ11" s="3"/>
      <c r="DA11" s="271"/>
      <c r="DB11" s="266"/>
      <c r="DC11" s="268"/>
      <c r="DD11" s="271"/>
      <c r="DE11" s="281"/>
      <c r="DF11" s="267"/>
      <c r="DG11" s="267"/>
      <c r="DH11" s="268"/>
      <c r="DI11" s="282"/>
      <c r="DJ11" s="283"/>
      <c r="FO11" s="568"/>
      <c r="FP11" s="336"/>
      <c r="FQ11" s="336"/>
      <c r="FR11" s="336"/>
      <c r="FS11" s="336"/>
      <c r="FT11" s="336"/>
      <c r="FU11" s="336"/>
      <c r="FV11" s="336"/>
      <c r="FW11" s="336"/>
      <c r="FX11" s="336"/>
      <c r="FY11" s="336"/>
      <c r="FZ11" s="336"/>
      <c r="GA11" s="336"/>
      <c r="GB11" s="336"/>
      <c r="GC11" s="336"/>
      <c r="GD11" s="336"/>
      <c r="GE11" s="336"/>
      <c r="GF11" s="336"/>
      <c r="GG11" s="336"/>
      <c r="GH11" s="336"/>
      <c r="GI11" s="336"/>
      <c r="GJ11" s="336"/>
      <c r="GK11" s="336"/>
      <c r="GL11" s="336"/>
      <c r="GM11" s="336"/>
      <c r="GN11" s="336"/>
      <c r="GO11" s="336"/>
      <c r="GP11" s="336"/>
      <c r="GQ11" s="336"/>
      <c r="GR11" s="336"/>
      <c r="GS11" s="336"/>
      <c r="GT11" s="336"/>
      <c r="GU11" s="336"/>
      <c r="GV11" s="336"/>
      <c r="GW11" s="336"/>
      <c r="GX11" s="336"/>
      <c r="GY11" s="336"/>
      <c r="GZ11" s="336"/>
      <c r="HA11" s="336"/>
      <c r="HB11" s="336"/>
      <c r="HC11" s="336"/>
      <c r="HD11" s="336"/>
      <c r="HE11" s="336"/>
      <c r="HF11" s="336"/>
      <c r="HG11" s="336"/>
      <c r="HH11" s="336"/>
      <c r="HI11" s="336"/>
      <c r="HJ11" s="336"/>
      <c r="HK11" s="336"/>
    </row>
    <row r="12" spans="1:219" s="274" customFormat="1" ht="13.5" customHeight="1" x14ac:dyDescent="0.2">
      <c r="A12" s="272"/>
      <c r="B12" s="763"/>
      <c r="C12" s="273"/>
      <c r="D12" s="763"/>
      <c r="E12" s="763"/>
      <c r="F12" s="794"/>
      <c r="G12" s="405"/>
      <c r="H12" s="405"/>
      <c r="I12" s="405"/>
      <c r="J12" s="405"/>
      <c r="K12" s="275"/>
      <c r="L12" s="275"/>
      <c r="M12" s="786"/>
      <c r="N12" s="275"/>
      <c r="O12" s="275"/>
      <c r="P12" s="275"/>
      <c r="Q12" s="490"/>
      <c r="R12" s="801"/>
      <c r="S12" s="802"/>
      <c r="T12" s="587"/>
      <c r="U12" s="505"/>
      <c r="V12" s="804"/>
      <c r="W12" s="801"/>
      <c r="X12" s="802"/>
      <c r="Y12" s="763"/>
      <c r="Z12" s="273"/>
      <c r="AA12" s="775" t="s">
        <v>91</v>
      </c>
      <c r="AB12" s="775"/>
      <c r="AC12" s="775"/>
      <c r="AD12" s="775"/>
      <c r="AE12" s="775" t="s">
        <v>89</v>
      </c>
      <c r="AF12" s="775" t="s">
        <v>113</v>
      </c>
      <c r="AG12" s="775"/>
      <c r="AH12" s="756"/>
      <c r="AI12" s="756"/>
      <c r="AJ12" s="775" t="s">
        <v>119</v>
      </c>
      <c r="AK12" s="775"/>
      <c r="AL12" s="775"/>
      <c r="AM12" s="798"/>
      <c r="AN12" s="799"/>
      <c r="AO12" s="775" t="s">
        <v>91</v>
      </c>
      <c r="AP12" s="775"/>
      <c r="AQ12" s="775"/>
      <c r="AR12" s="775" t="s">
        <v>125</v>
      </c>
      <c r="AS12" s="775"/>
      <c r="AT12" s="587"/>
      <c r="AU12" s="587"/>
      <c r="AV12" s="775" t="s">
        <v>119</v>
      </c>
      <c r="AW12" s="775"/>
      <c r="AX12" s="775"/>
      <c r="AY12" s="777"/>
      <c r="AZ12" s="422"/>
      <c r="BA12" s="275"/>
      <c r="BB12" s="275"/>
      <c r="BC12" s="275"/>
      <c r="BD12" s="275"/>
      <c r="BE12" s="275"/>
      <c r="BF12" s="275"/>
      <c r="BG12" s="275"/>
      <c r="BH12" s="275"/>
      <c r="BI12" s="275"/>
      <c r="BJ12" s="766"/>
      <c r="BK12" s="275"/>
      <c r="BL12" s="275"/>
      <c r="BM12" s="275"/>
      <c r="BN12" s="275"/>
      <c r="BO12" s="275"/>
      <c r="BP12" s="275"/>
      <c r="BQ12" s="275"/>
      <c r="BR12" s="275"/>
      <c r="BS12" s="275"/>
      <c r="BT12" s="766"/>
      <c r="BU12" s="770"/>
      <c r="BV12" s="276"/>
      <c r="BW12" s="162"/>
      <c r="BX12" s="98"/>
      <c r="BY12" s="277"/>
      <c r="BZ12" s="98"/>
      <c r="CA12" s="278"/>
      <c r="CB12" s="270"/>
      <c r="CC12" s="269"/>
      <c r="CD12" s="279"/>
      <c r="CE12" s="98"/>
      <c r="CF12" s="98"/>
      <c r="CW12" s="280"/>
      <c r="CX12" s="269"/>
      <c r="CY12" s="265"/>
      <c r="CZ12" s="3"/>
      <c r="DA12" s="271"/>
      <c r="DB12" s="266"/>
      <c r="DC12" s="268"/>
      <c r="DD12" s="271"/>
      <c r="DE12" s="281"/>
      <c r="DF12" s="267"/>
      <c r="DG12" s="267"/>
      <c r="DH12" s="268"/>
      <c r="DI12" s="282"/>
      <c r="DJ12" s="283"/>
      <c r="FO12" s="568"/>
      <c r="FP12" s="336"/>
      <c r="FQ12" s="336"/>
      <c r="FR12" s="336"/>
      <c r="FS12" s="336"/>
      <c r="FT12" s="336"/>
      <c r="FU12" s="336"/>
      <c r="FV12" s="336"/>
      <c r="FW12" s="336"/>
      <c r="FX12" s="336"/>
      <c r="FY12" s="336"/>
      <c r="FZ12" s="336"/>
      <c r="GA12" s="336"/>
      <c r="GB12" s="336"/>
      <c r="GC12" s="336"/>
      <c r="GD12" s="336"/>
      <c r="GE12" s="336"/>
      <c r="GF12" s="336"/>
      <c r="GG12" s="336"/>
      <c r="GH12" s="336"/>
      <c r="GI12" s="336"/>
      <c r="GJ12" s="336"/>
      <c r="GK12" s="336"/>
      <c r="GL12" s="336"/>
      <c r="GM12" s="336"/>
      <c r="GN12" s="336"/>
      <c r="GO12" s="336"/>
      <c r="GP12" s="336"/>
      <c r="GQ12" s="336"/>
      <c r="GR12" s="336"/>
      <c r="GS12" s="336"/>
      <c r="GT12" s="336"/>
      <c r="GU12" s="336"/>
      <c r="GV12" s="336"/>
      <c r="GW12" s="336"/>
      <c r="GX12" s="336"/>
      <c r="GY12" s="336"/>
      <c r="GZ12" s="336"/>
      <c r="HA12" s="336"/>
      <c r="HB12" s="336"/>
      <c r="HC12" s="336"/>
      <c r="HD12" s="336"/>
      <c r="HE12" s="336"/>
      <c r="HF12" s="336"/>
      <c r="HG12" s="336"/>
      <c r="HH12" s="336"/>
      <c r="HI12" s="336"/>
      <c r="HJ12" s="336"/>
      <c r="HK12" s="336"/>
    </row>
    <row r="13" spans="1:219" s="274" customFormat="1" ht="33" customHeight="1" x14ac:dyDescent="0.2">
      <c r="A13" s="272">
        <v>163</v>
      </c>
      <c r="B13" s="764"/>
      <c r="C13" s="273"/>
      <c r="D13" s="764"/>
      <c r="E13" s="764"/>
      <c r="F13" s="795"/>
      <c r="G13" s="405"/>
      <c r="H13" s="405"/>
      <c r="I13" s="405"/>
      <c r="J13" s="405"/>
      <c r="K13" s="275"/>
      <c r="L13" s="275"/>
      <c r="M13" s="787"/>
      <c r="N13" s="275"/>
      <c r="O13" s="275"/>
      <c r="P13" s="275"/>
      <c r="Q13" s="507"/>
      <c r="R13" s="803"/>
      <c r="S13" s="799"/>
      <c r="T13" s="587"/>
      <c r="U13" s="505"/>
      <c r="V13" s="798"/>
      <c r="W13" s="803"/>
      <c r="X13" s="799"/>
      <c r="Y13" s="764"/>
      <c r="Z13" s="273"/>
      <c r="AA13" s="775"/>
      <c r="AB13" s="775"/>
      <c r="AC13" s="775"/>
      <c r="AD13" s="775"/>
      <c r="AE13" s="775"/>
      <c r="AF13" s="775"/>
      <c r="AG13" s="775"/>
      <c r="AH13" s="422"/>
      <c r="AI13" s="508"/>
      <c r="AJ13" s="775"/>
      <c r="AK13" s="775"/>
      <c r="AL13" s="775"/>
      <c r="AM13" s="509" t="s">
        <v>114</v>
      </c>
      <c r="AN13" s="495" t="s">
        <v>126</v>
      </c>
      <c r="AO13" s="775"/>
      <c r="AP13" s="775"/>
      <c r="AQ13" s="775"/>
      <c r="AR13" s="775"/>
      <c r="AS13" s="775"/>
      <c r="AU13" s="163"/>
      <c r="AV13" s="775"/>
      <c r="AW13" s="775"/>
      <c r="AX13" s="775"/>
      <c r="AY13" s="778"/>
      <c r="AZ13" s="422"/>
      <c r="BA13" s="275"/>
      <c r="BB13" s="275"/>
      <c r="BC13" s="275"/>
      <c r="BD13" s="275"/>
      <c r="BE13" s="275"/>
      <c r="BF13" s="275"/>
      <c r="BG13" s="275"/>
      <c r="BH13" s="275"/>
      <c r="BI13" s="275"/>
      <c r="BJ13" s="767"/>
      <c r="BK13" s="275"/>
      <c r="BL13" s="275"/>
      <c r="BM13" s="275"/>
      <c r="BN13" s="275"/>
      <c r="BO13" s="275"/>
      <c r="BP13" s="275"/>
      <c r="BQ13" s="275"/>
      <c r="BR13" s="275"/>
      <c r="BS13" s="275"/>
      <c r="BT13" s="767"/>
      <c r="BU13" s="771"/>
      <c r="BV13" s="276"/>
      <c r="BW13" s="162" t="s">
        <v>84</v>
      </c>
      <c r="BX13" s="98" t="s">
        <v>85</v>
      </c>
      <c r="BY13" s="277"/>
      <c r="BZ13" s="98" t="e">
        <f>IF(AND(#REF!&gt;0,#REF!&lt;(#REF!-1),CA13&gt;0,CA13&lt;13,OR(AND(CC13="Cùg Ng",(#REF!-#REF!)&gt;#REF!),CC13="- - -")),"Sớm TT","=&gt; s")</f>
        <v>#REF!</v>
      </c>
      <c r="CA13" s="278" t="e">
        <f>IF(#REF!=3,36-(12*(#REF!-#REF!)+(12-#REF!)-#REF!),IF(#REF!=2,24-(12*(#REF!-#REF!)+(12-#REF!)-#REF!),"---"))</f>
        <v>#REF!</v>
      </c>
      <c r="CB13" s="270"/>
      <c r="CC13" s="269" t="e">
        <f>IF(#REF!=#REF!,"Cùg Ng","- - -")</f>
        <v>#REF!</v>
      </c>
      <c r="CD13" s="279" t="str">
        <f>IF(CF13&gt;2000,"NN","- - -")</f>
        <v>- - -</v>
      </c>
      <c r="CE13" s="98"/>
      <c r="CF13" s="98"/>
      <c r="CI13" s="274" t="str">
        <f>IF(CK13&gt;2000,"CN","- - -")</f>
        <v>- - -</v>
      </c>
      <c r="CN13" s="274" t="e">
        <f>IF(AND(CO13="Hưu",#REF!&lt;(#REF!-1),CV13&gt;0,CV13&lt;18,OR(#REF!&lt;4,AND(#REF!&gt;3,OR(#REF!&lt;3,#REF!&gt;5)))),"Lg Sớm",IF(AND(CO13="Hưu",#REF!&gt;(#REF!-2),OR(#REF!=0.33,#REF!=0.34),OR(#REF!&lt;4,AND(#REF!&gt;3,OR(#REF!&lt;3,#REF!&gt;5)))),"Nâng Ngạch",IF(AND(CO13="Hưu",#REF!=1,CV13&gt;2,CV13&lt;6,OR(#REF!&lt;4,AND(#REF!&gt;3,OR(#REF!&lt;3,#REF!&gt;5)))),"Nâng PcVK cùng QĐ",IF(AND(CO13="Hưu",#REF!&gt;3,#REF!&gt;2,#REF!&lt;6,#REF!&lt;(#REF!-1),CV13&gt;17,OR(#REF!&gt;1,AND(#REF!=1,OR(CV13&lt;3,CV13&gt;5)))),"Nâng PcNG cùng QĐ",IF(AND(CO13="Hưu",#REF!&lt;(#REF!-1),CV13&gt;0,CV13&lt;18,#REF!&gt;3,#REF!&gt;2,#REF!&lt;6),"Nâng Lg Sớm +(PcNG cùng QĐ)",IF(AND(CO13="Hưu",#REF!&gt;(#REF!-2),OR(#REF!=0.33,#REF!=0.34),#REF!&gt;3,#REF!&gt;2,#REF!&lt;6),"Nâng Ngạch +(PcNG cùng QĐ)",IF(AND(CO13="Hưu",#REF!=1,CV13&gt;2,CV13&lt;6,#REF!&gt;3,#REF!&gt;2,#REF!&lt;6),"Nâng (PcVK +PcNG) cùng QĐ",("---"))))))))</f>
        <v>#REF!</v>
      </c>
      <c r="CO13" s="274" t="e">
        <f>IF(AND(CZ13&gt;CY13,CZ13&lt;(CY13+13)),"Hưu",IF(AND(CZ13&gt;(CY13+12),CZ13&lt;1000),"Quá","/-/ /-/"))</f>
        <v>#REF!</v>
      </c>
      <c r="CP13" s="274" t="e">
        <f>IF((#REF!+0)&lt;12,(#REF!+0)+1,IF((#REF!+0)=12,1,IF((#REF!+0)&gt;12,(#REF!+0)-12)))</f>
        <v>#REF!</v>
      </c>
      <c r="CQ13" s="274" t="e">
        <f>IF(OR((#REF!+0)=12,(#REF!+0)&gt;12),#REF!+CY13/12+1,IF(AND((#REF!+0)&gt;0,(#REF!+0)&lt;12),#REF!+CY13/12,"---"))</f>
        <v>#REF!</v>
      </c>
      <c r="CR13" s="274" t="e">
        <f>IF(AND(CP13&gt;3,CP13&lt;13),CP13-3,IF(CP13&lt;4,CP13-3+12))</f>
        <v>#REF!</v>
      </c>
      <c r="CS13" s="274" t="e">
        <f>IF(CR13&lt;CP13,CQ13,IF(CR13&gt;CP13,CQ13-1))</f>
        <v>#REF!</v>
      </c>
      <c r="CT13" s="274" t="e">
        <f>IF(CP13&gt;6,CP13-6,IF(CP13=6,12,IF(CP13&lt;6,CP13+6)))</f>
        <v>#REF!</v>
      </c>
      <c r="CU13" s="274" t="e">
        <f>IF(CP13&gt;6,CQ13,IF(CP13&lt;7,CQ13-1))</f>
        <v>#REF!</v>
      </c>
      <c r="CV13" s="274" t="e">
        <f>IF(AND(CO13="Hưu",#REF!=3),36+#REF!-(12*(CU13-#REF!)+(CT13-#REF!)),IF(AND(CO13="Hưu",#REF!=2),24+#REF!-(12*(CU13-#REF!)+(CT13-#REF!)),IF(AND(CO13="Hưu",#REF!=1),12+#REF!-(12*(CU13-#REF!)+(CT13-#REF!)),"- - -")))</f>
        <v>#REF!</v>
      </c>
      <c r="CW13" s="280" t="str">
        <f>IF(CX13&gt;0,"K.Dài",". .")</f>
        <v>. .</v>
      </c>
      <c r="CX13" s="269"/>
      <c r="CY13" s="265" t="e">
        <f>IF(#REF!="Nam",(60+CX13)*12,IF(#REF!="Nữ",(55+CX13)*12,))</f>
        <v>#REF!</v>
      </c>
      <c r="CZ13" s="3" t="e">
        <f>12*(#REF!-#REF!)+(12-#REF!)</f>
        <v>#REF!</v>
      </c>
      <c r="DA13" s="271" t="e">
        <f>#REF!-#REF!</f>
        <v>#REF!</v>
      </c>
      <c r="DB13" s="266" t="e">
        <f>IF(AND(DA13&lt;35,#REF!="Nam"),"Nam dưới 35",IF(AND(DA13&lt;30,#REF!="Nữ"),"Nữ dưới 30",IF(AND(DA13&gt;34,DA13&lt;46,#REF!="Nam"),"Nam từ 35 - 45",IF(AND(DA13&gt;29,DA13&lt;41,#REF!="Nữ"),"Nữ từ 30 - 40",IF(AND(DA13&gt;45,DA13&lt;56,#REF!="Nam"),"Nam trên 45 - 55",IF(AND(DA13&gt;40,DA13&lt;51,#REF!="Nữ"),"Nữ trên 40 - 50",IF(AND(DA13&gt;55,#REF!="Nam"),"Nam trên 55","Nữ trên 50")))))))</f>
        <v>#REF!</v>
      </c>
      <c r="DC13" s="268"/>
      <c r="DD13" s="271"/>
      <c r="DE13" s="281" t="e">
        <f>IF(DA13&lt;31,"Đến 30",IF(AND(DA13&gt;30,DA13&lt;46),"31 - 45",IF(AND(DA13&gt;45,DA13&lt;70),"Trên 45")))</f>
        <v>#REF!</v>
      </c>
      <c r="DF13" s="267" t="str">
        <f>IF(DG13&gt;0,"TD","--")</f>
        <v>--</v>
      </c>
      <c r="DG13" s="267"/>
      <c r="DH13" s="268"/>
      <c r="DI13" s="282"/>
      <c r="DJ13" s="283"/>
      <c r="DP13" s="274" t="s">
        <v>31</v>
      </c>
      <c r="DQ13" s="274" t="s">
        <v>43</v>
      </c>
      <c r="DR13" s="274" t="s">
        <v>53</v>
      </c>
      <c r="DS13" s="274" t="s">
        <v>47</v>
      </c>
      <c r="DT13" s="274" t="s">
        <v>53</v>
      </c>
      <c r="DU13" s="274" t="s">
        <v>55</v>
      </c>
      <c r="DV13" s="274">
        <f>(DQ13+0)-(DX13+0)</f>
        <v>0</v>
      </c>
      <c r="DW13" s="274" t="str">
        <f>IF(DV13&gt;0,"Sửa","- - -")</f>
        <v>- - -</v>
      </c>
      <c r="DX13" s="274" t="s">
        <v>43</v>
      </c>
      <c r="DY13" s="274" t="s">
        <v>53</v>
      </c>
      <c r="DZ13" s="274" t="s">
        <v>47</v>
      </c>
      <c r="EA13" s="274" t="s">
        <v>53</v>
      </c>
      <c r="EB13" s="274" t="s">
        <v>55</v>
      </c>
      <c r="ED13" s="274" t="e">
        <f>IF(AND(#REF!&gt;0.34,#REF!=1,OR(#REF!=6.2,#REF!=5.75)),((#REF!-EC13)-2*0.34),IF(AND(#REF!&gt;0.33,#REF!=1,OR(#REF!=4.4,#REF!=4)),((#REF!-EC13)-2*0.33),"- - -"))</f>
        <v>#REF!</v>
      </c>
      <c r="EE13" s="274" t="e">
        <f>IF(CO13="Hưu",12*(CU13-#REF!)+(CT13-#REF!),"---")</f>
        <v>#REF!</v>
      </c>
      <c r="FO13" s="568"/>
      <c r="FP13" s="336"/>
      <c r="FQ13" s="336"/>
      <c r="FR13" s="336"/>
      <c r="FS13" s="336"/>
      <c r="FT13" s="336"/>
      <c r="FU13" s="336"/>
      <c r="FV13" s="336"/>
      <c r="FW13" s="336"/>
      <c r="FX13" s="336"/>
      <c r="FY13" s="336"/>
      <c r="FZ13" s="336"/>
      <c r="GA13" s="336"/>
      <c r="GB13" s="336"/>
      <c r="GC13" s="336"/>
      <c r="GD13" s="336"/>
      <c r="GE13" s="336"/>
      <c r="GF13" s="336"/>
      <c r="GG13" s="336"/>
      <c r="GH13" s="336"/>
      <c r="GI13" s="336"/>
      <c r="GJ13" s="336"/>
      <c r="GK13" s="336"/>
      <c r="GL13" s="336"/>
      <c r="GM13" s="336"/>
      <c r="GN13" s="336"/>
      <c r="GO13" s="336"/>
      <c r="GP13" s="336"/>
      <c r="GQ13" s="336"/>
      <c r="GR13" s="336"/>
      <c r="GS13" s="336"/>
      <c r="GT13" s="336"/>
      <c r="GU13" s="336"/>
      <c r="GV13" s="336"/>
      <c r="GW13" s="336"/>
      <c r="GX13" s="336"/>
      <c r="GY13" s="336"/>
      <c r="GZ13" s="336"/>
      <c r="HA13" s="336"/>
      <c r="HB13" s="336"/>
      <c r="HC13" s="336"/>
      <c r="HD13" s="336"/>
      <c r="HE13" s="336"/>
      <c r="HF13" s="336"/>
      <c r="HG13" s="336"/>
      <c r="HH13" s="336"/>
      <c r="HI13" s="336"/>
      <c r="HJ13" s="336"/>
      <c r="HK13" s="336"/>
    </row>
    <row r="14" spans="1:219" s="510" customFormat="1" ht="14.25" customHeight="1" x14ac:dyDescent="0.2">
      <c r="B14" s="755">
        <v>1</v>
      </c>
      <c r="C14" s="755"/>
      <c r="D14" s="755">
        <v>2</v>
      </c>
      <c r="E14" s="511">
        <v>2</v>
      </c>
      <c r="F14" s="755">
        <v>3</v>
      </c>
      <c r="G14" s="755"/>
      <c r="H14" s="755"/>
      <c r="I14" s="755"/>
      <c r="J14" s="755"/>
      <c r="K14" s="755"/>
      <c r="L14" s="755"/>
      <c r="M14" s="755">
        <v>4</v>
      </c>
      <c r="N14" s="755"/>
      <c r="O14" s="755"/>
      <c r="P14" s="755"/>
      <c r="Q14" s="512"/>
      <c r="R14" s="758">
        <v>4</v>
      </c>
      <c r="S14" s="759"/>
      <c r="T14" s="755"/>
      <c r="U14" s="513"/>
      <c r="V14" s="760">
        <v>5</v>
      </c>
      <c r="W14" s="761"/>
      <c r="X14" s="537">
        <v>6</v>
      </c>
      <c r="Y14" s="755">
        <v>6</v>
      </c>
      <c r="Z14" s="755"/>
      <c r="AA14" s="768">
        <v>7</v>
      </c>
      <c r="AB14" s="758"/>
      <c r="AC14" s="758"/>
      <c r="AD14" s="759"/>
      <c r="AE14" s="755">
        <v>8</v>
      </c>
      <c r="AF14" s="784">
        <v>9</v>
      </c>
      <c r="AG14" s="784"/>
      <c r="AH14" s="768">
        <v>10</v>
      </c>
      <c r="AI14" s="758"/>
      <c r="AJ14" s="758"/>
      <c r="AK14" s="758"/>
      <c r="AL14" s="759"/>
      <c r="AM14" s="768">
        <v>11</v>
      </c>
      <c r="AN14" s="759"/>
      <c r="AO14" s="768">
        <v>12</v>
      </c>
      <c r="AP14" s="758"/>
      <c r="AQ14" s="759"/>
      <c r="AR14" s="768">
        <v>13</v>
      </c>
      <c r="AS14" s="759"/>
      <c r="AT14" s="768">
        <v>14</v>
      </c>
      <c r="AU14" s="758"/>
      <c r="AV14" s="758"/>
      <c r="AW14" s="758"/>
      <c r="AX14" s="759"/>
      <c r="AY14" s="511">
        <v>15</v>
      </c>
      <c r="AZ14" s="593"/>
      <c r="BA14" s="496"/>
      <c r="BB14" s="496"/>
      <c r="BC14" s="496"/>
      <c r="BD14" s="496"/>
      <c r="BE14" s="496"/>
      <c r="BF14" s="496"/>
      <c r="BG14" s="496"/>
      <c r="BH14" s="496"/>
      <c r="BI14" s="496"/>
      <c r="BJ14" s="496">
        <v>12</v>
      </c>
      <c r="BK14" s="496"/>
      <c r="BL14" s="496"/>
      <c r="BM14" s="496"/>
      <c r="BN14" s="496"/>
      <c r="BO14" s="496"/>
      <c r="BP14" s="496"/>
      <c r="BQ14" s="496"/>
      <c r="BR14" s="496"/>
      <c r="BS14" s="496"/>
      <c r="BT14" s="496">
        <v>11</v>
      </c>
      <c r="BU14" s="496">
        <v>13</v>
      </c>
      <c r="BV14" s="514"/>
      <c r="BW14" s="514"/>
      <c r="FP14" s="679"/>
      <c r="FQ14" s="679"/>
      <c r="FR14" s="679"/>
      <c r="FS14" s="679"/>
      <c r="FT14" s="679"/>
      <c r="FU14" s="679"/>
      <c r="FV14" s="679"/>
      <c r="FW14" s="679"/>
      <c r="FX14" s="679"/>
      <c r="FY14" s="679"/>
      <c r="FZ14" s="679"/>
      <c r="GA14" s="679"/>
      <c r="GB14" s="679"/>
      <c r="GC14" s="679"/>
      <c r="GD14" s="679"/>
      <c r="GE14" s="679"/>
      <c r="GF14" s="679"/>
      <c r="GG14" s="679"/>
      <c r="GH14" s="679"/>
      <c r="GI14" s="679"/>
      <c r="GJ14" s="679"/>
      <c r="GK14" s="679"/>
      <c r="GL14" s="679"/>
      <c r="GM14" s="679"/>
      <c r="GN14" s="679"/>
      <c r="GO14" s="679"/>
      <c r="GP14" s="679"/>
      <c r="GQ14" s="679"/>
      <c r="GR14" s="679"/>
      <c r="GS14" s="679"/>
      <c r="GT14" s="679"/>
      <c r="GU14" s="679"/>
      <c r="GV14" s="679"/>
      <c r="GW14" s="679"/>
      <c r="GX14" s="679"/>
      <c r="GY14" s="679"/>
      <c r="GZ14" s="679"/>
      <c r="HA14" s="679"/>
      <c r="HB14" s="679"/>
      <c r="HC14" s="679"/>
      <c r="HD14" s="679"/>
      <c r="HE14" s="679"/>
      <c r="HF14" s="679"/>
      <c r="HG14" s="679"/>
      <c r="HH14" s="679"/>
      <c r="HI14" s="679"/>
      <c r="HJ14" s="679"/>
      <c r="HK14" s="679"/>
    </row>
    <row r="15" spans="1:219" s="515" customFormat="1" ht="45.75" hidden="1" customHeight="1" x14ac:dyDescent="0.2">
      <c r="B15" s="516" t="s">
        <v>65</v>
      </c>
      <c r="C15" s="516"/>
      <c r="D15" s="516" t="s">
        <v>105</v>
      </c>
      <c r="E15" s="517" t="s">
        <v>104</v>
      </c>
      <c r="F15" s="518"/>
      <c r="G15" s="516"/>
      <c r="H15" s="516"/>
      <c r="I15" s="516"/>
      <c r="J15" s="516"/>
      <c r="K15" s="516"/>
      <c r="L15" s="516"/>
      <c r="M15" s="516"/>
      <c r="N15" s="516"/>
      <c r="O15" s="516"/>
      <c r="P15" s="516"/>
      <c r="Q15" s="519"/>
      <c r="R15" s="516" t="s">
        <v>103</v>
      </c>
      <c r="S15" s="516" t="s">
        <v>102</v>
      </c>
      <c r="T15" s="518"/>
      <c r="U15" s="520"/>
      <c r="V15" s="521" t="s">
        <v>100</v>
      </c>
      <c r="W15" s="522" t="s">
        <v>101</v>
      </c>
      <c r="X15" s="523" t="s">
        <v>79</v>
      </c>
      <c r="Y15" s="524"/>
      <c r="Z15" s="525"/>
      <c r="AA15" s="524"/>
      <c r="AB15" s="526" t="s">
        <v>1</v>
      </c>
      <c r="AC15" s="527"/>
      <c r="AD15" s="525" t="s">
        <v>2</v>
      </c>
      <c r="AE15" s="524" t="s">
        <v>99</v>
      </c>
      <c r="AF15" s="528" t="s">
        <v>106</v>
      </c>
      <c r="AG15" s="529"/>
      <c r="AH15" s="524"/>
      <c r="AI15" s="527"/>
      <c r="AJ15" s="526" t="s">
        <v>98</v>
      </c>
      <c r="AK15" s="527"/>
      <c r="AL15" s="516" t="s">
        <v>97</v>
      </c>
      <c r="AM15" s="538"/>
      <c r="AN15" s="539"/>
      <c r="AO15" s="524" t="s">
        <v>3</v>
      </c>
      <c r="AP15" s="527"/>
      <c r="AQ15" s="540" t="s">
        <v>4</v>
      </c>
      <c r="AR15" s="530" t="s">
        <v>107</v>
      </c>
      <c r="AS15" s="531"/>
      <c r="AT15" s="524"/>
      <c r="AU15" s="527"/>
      <c r="AV15" s="516" t="s">
        <v>96</v>
      </c>
      <c r="AW15" s="527"/>
      <c r="AX15" s="516" t="s">
        <v>95</v>
      </c>
      <c r="AY15" s="689"/>
      <c r="AZ15" s="526"/>
      <c r="BA15" s="516"/>
      <c r="BB15" s="516"/>
      <c r="BC15" s="516"/>
      <c r="BD15" s="524"/>
      <c r="BE15" s="516"/>
      <c r="BF15" s="516"/>
      <c r="BG15" s="516"/>
      <c r="BH15" s="516"/>
      <c r="BI15" s="516"/>
      <c r="BJ15" s="516"/>
      <c r="BK15" s="524"/>
      <c r="BL15" s="525"/>
      <c r="BM15" s="516"/>
      <c r="BN15" s="516"/>
      <c r="BO15" s="516"/>
      <c r="BP15" s="516"/>
      <c r="BQ15" s="516"/>
      <c r="BR15" s="516"/>
      <c r="BS15" s="516"/>
      <c r="BT15" s="526"/>
      <c r="BU15" s="532"/>
      <c r="BV15" s="533"/>
      <c r="BW15" s="533"/>
      <c r="BX15" s="517" t="s">
        <v>94</v>
      </c>
      <c r="BY15" s="516" t="s">
        <v>93</v>
      </c>
      <c r="FP15" s="680"/>
      <c r="FQ15" s="680"/>
      <c r="FR15" s="680"/>
      <c r="FS15" s="680"/>
      <c r="FT15" s="680"/>
      <c r="FU15" s="680"/>
      <c r="FV15" s="680"/>
      <c r="FW15" s="680"/>
      <c r="FX15" s="680"/>
      <c r="FY15" s="680"/>
      <c r="FZ15" s="680"/>
      <c r="GA15" s="680"/>
      <c r="GB15" s="680"/>
      <c r="GC15" s="680"/>
      <c r="GD15" s="680"/>
      <c r="GE15" s="680"/>
      <c r="GF15" s="680"/>
      <c r="GG15" s="680"/>
      <c r="GH15" s="680"/>
      <c r="GI15" s="680"/>
      <c r="GJ15" s="680"/>
      <c r="GK15" s="680"/>
      <c r="GL15" s="680"/>
      <c r="GM15" s="680"/>
      <c r="GN15" s="680"/>
      <c r="GO15" s="680"/>
      <c r="GP15" s="680"/>
      <c r="GQ15" s="680"/>
      <c r="GR15" s="680"/>
      <c r="GS15" s="680"/>
      <c r="GT15" s="680"/>
      <c r="GU15" s="680"/>
      <c r="GV15" s="680"/>
      <c r="GW15" s="680"/>
      <c r="GX15" s="680"/>
      <c r="GY15" s="680"/>
      <c r="GZ15" s="680"/>
      <c r="HA15" s="680"/>
      <c r="HB15" s="680"/>
      <c r="HC15" s="680"/>
      <c r="HD15" s="680"/>
      <c r="HE15" s="680"/>
      <c r="HF15" s="680"/>
      <c r="HG15" s="680"/>
      <c r="HH15" s="680"/>
      <c r="HI15" s="680"/>
      <c r="HJ15" s="680"/>
      <c r="HK15" s="680"/>
    </row>
    <row r="16" spans="1:219" s="308" customFormat="1" ht="18.75" customHeight="1" x14ac:dyDescent="0.2">
      <c r="A16" s="284"/>
      <c r="B16" s="285" t="s">
        <v>54</v>
      </c>
      <c r="C16" s="285"/>
      <c r="D16" s="286"/>
      <c r="E16" s="286" t="s">
        <v>242</v>
      </c>
      <c r="F16" s="287"/>
      <c r="G16" s="288"/>
      <c r="H16" s="288"/>
      <c r="I16" s="288"/>
      <c r="J16" s="289"/>
      <c r="K16" s="289"/>
      <c r="L16" s="289"/>
      <c r="M16" s="289"/>
      <c r="N16" s="289"/>
      <c r="O16" s="289"/>
      <c r="P16" s="289"/>
      <c r="Q16" s="286"/>
      <c r="R16" s="290"/>
      <c r="S16" s="291"/>
      <c r="T16" s="292"/>
      <c r="U16" s="292"/>
      <c r="V16" s="425"/>
      <c r="W16" s="426"/>
      <c r="X16" s="326"/>
      <c r="Y16" s="325"/>
      <c r="Z16" s="326"/>
      <c r="AA16" s="327"/>
      <c r="AB16" s="317"/>
      <c r="AC16" s="381"/>
      <c r="AD16" s="318"/>
      <c r="AE16" s="323"/>
      <c r="AF16" s="321"/>
      <c r="AG16" s="318"/>
      <c r="AH16" s="379"/>
      <c r="AI16" s="388"/>
      <c r="AJ16" s="380"/>
      <c r="AK16" s="394"/>
      <c r="AL16" s="395"/>
      <c r="AM16" s="427"/>
      <c r="AN16" s="428"/>
      <c r="AO16" s="396"/>
      <c r="AP16" s="389"/>
      <c r="AQ16" s="399"/>
      <c r="AR16" s="321"/>
      <c r="AS16" s="381"/>
      <c r="AT16" s="319"/>
      <c r="AU16" s="387"/>
      <c r="AV16" s="412"/>
      <c r="AW16" s="393"/>
      <c r="AX16" s="320"/>
      <c r="AY16" s="753"/>
      <c r="AZ16" s="295"/>
      <c r="BA16" s="296"/>
      <c r="BB16" s="296"/>
      <c r="BC16" s="289"/>
      <c r="BD16" s="297"/>
      <c r="BE16" s="298"/>
      <c r="BF16" s="298"/>
      <c r="BG16" s="285"/>
      <c r="BH16" s="420"/>
      <c r="BI16" s="420"/>
      <c r="BJ16" s="298"/>
      <c r="BK16" s="299"/>
      <c r="BL16" s="294"/>
      <c r="BM16" s="300"/>
      <c r="BN16" s="301"/>
      <c r="BO16" s="301"/>
      <c r="BP16" s="301"/>
      <c r="BQ16" s="301"/>
      <c r="BR16" s="301"/>
      <c r="BS16" s="298"/>
      <c r="BT16" s="302"/>
      <c r="BU16" s="303"/>
      <c r="BV16" s="298"/>
      <c r="BW16" s="285"/>
      <c r="BX16" s="289"/>
      <c r="BY16" s="304"/>
      <c r="BZ16" s="305"/>
      <c r="CA16" s="284"/>
      <c r="CB16" s="306"/>
      <c r="CC16" s="306"/>
      <c r="CD16" s="284"/>
      <c r="CE16" s="307"/>
      <c r="CF16" s="284"/>
      <c r="CG16" s="284"/>
      <c r="CX16" s="309"/>
      <c r="CY16" s="310"/>
      <c r="CZ16" s="311"/>
      <c r="DA16" s="284"/>
      <c r="DB16" s="312"/>
      <c r="DC16" s="312"/>
      <c r="DD16" s="312"/>
      <c r="DE16" s="312"/>
      <c r="DF16" s="313"/>
      <c r="DG16" s="314"/>
      <c r="DH16" s="314"/>
      <c r="DI16" s="312"/>
      <c r="DJ16" s="315"/>
      <c r="DK16" s="314"/>
      <c r="DL16" s="316"/>
      <c r="DM16" s="316"/>
      <c r="FP16" s="316"/>
      <c r="FQ16" s="316"/>
      <c r="FR16" s="316"/>
      <c r="FS16" s="316"/>
      <c r="FT16" s="316"/>
      <c r="FU16" s="316"/>
      <c r="FV16" s="316"/>
      <c r="FW16" s="316"/>
      <c r="FX16" s="316"/>
      <c r="FY16" s="316"/>
      <c r="FZ16" s="316"/>
      <c r="GA16" s="316"/>
      <c r="GB16" s="316"/>
      <c r="GC16" s="316"/>
      <c r="GD16" s="316"/>
      <c r="GE16" s="316"/>
      <c r="GF16" s="316"/>
      <c r="GG16" s="316"/>
      <c r="GH16" s="316"/>
      <c r="GI16" s="316"/>
      <c r="GJ16" s="316"/>
      <c r="GK16" s="316"/>
      <c r="GL16" s="316"/>
      <c r="GM16" s="316"/>
      <c r="GN16" s="316"/>
      <c r="GO16" s="316"/>
      <c r="GP16" s="316"/>
      <c r="GQ16" s="316"/>
      <c r="GR16" s="316"/>
      <c r="GS16" s="316"/>
      <c r="GT16" s="316"/>
    </row>
    <row r="17" spans="1:202" s="132" customFormat="1" ht="18" customHeight="1" x14ac:dyDescent="0.2">
      <c r="A17" s="547">
        <v>57</v>
      </c>
      <c r="B17" s="322">
        <v>1</v>
      </c>
      <c r="C17" s="99"/>
      <c r="D17" s="99" t="str">
        <f t="shared" ref="D17:D32" si="0">IF(F17="Nam","Ông","Bà")</f>
        <v>Bà</v>
      </c>
      <c r="E17" s="549" t="s">
        <v>173</v>
      </c>
      <c r="F17" s="550" t="s">
        <v>64</v>
      </c>
      <c r="G17" s="551" t="s">
        <v>151</v>
      </c>
      <c r="H17" s="551" t="s">
        <v>53</v>
      </c>
      <c r="I17" s="551" t="s">
        <v>58</v>
      </c>
      <c r="J17" s="98" t="s">
        <v>53</v>
      </c>
      <c r="K17" s="98" t="s">
        <v>174</v>
      </c>
      <c r="L17" s="98" t="s">
        <v>83</v>
      </c>
      <c r="M17" s="98" t="str">
        <f t="shared" ref="M17:M32" si="1">IF(L17="công chức","CC",IF(L17="viên chức","VC",IF(L17="người lao động","NLĐ","- - -")))</f>
        <v>VC</v>
      </c>
      <c r="N17" s="98"/>
      <c r="O17" s="98" t="str">
        <f t="shared" ref="O17:O32" si="2">IF(AND((Q17+0)&gt;0.3,(Q17+0)&lt;1.5),"CVụ","- -")</f>
        <v>CVụ</v>
      </c>
      <c r="P17" s="98" t="s">
        <v>175</v>
      </c>
      <c r="Q17" s="549">
        <f>VLOOKUP(P17,'[2]- DLiêu Gốc -'!$C$2:$H$114,2,0)</f>
        <v>0.6</v>
      </c>
      <c r="R17" s="580" t="s">
        <v>133</v>
      </c>
      <c r="S17" s="552" t="s">
        <v>134</v>
      </c>
      <c r="T17" s="553" t="str">
        <f>VLOOKUP(Y17,'[2]- DLiêu Gốc -'!$C$2:$H$60,5,0)</f>
        <v>A1</v>
      </c>
      <c r="U17" s="553" t="str">
        <f>VLOOKUP(Y17,'[2]- DLiêu Gốc -'!$C$2:$H$60,6,0)</f>
        <v>- - -</v>
      </c>
      <c r="V17" s="554" t="s">
        <v>74</v>
      </c>
      <c r="W17" s="555" t="str">
        <f t="shared" ref="W17:W32" si="3">IF(OR(Y17="Kỹ thuật viên đánh máy",Y17="Nhân viên đánh máy",Y17="Nhân viên kỹ thuật",Y17="Nhân viên văn thư",Y17="Nhân viên phục vụ",Y17="Lái xe cơ quan",Y17="Nhân viên bảo vệ"),"Nhân viên",Y17)</f>
        <v>Chuyên viên</v>
      </c>
      <c r="X17" s="556" t="str">
        <f t="shared" ref="X17:X32" si="4">IF(W17="Nhân viên","01.005",Z17)</f>
        <v>01.003</v>
      </c>
      <c r="Y17" s="557" t="s">
        <v>42</v>
      </c>
      <c r="Z17" s="556" t="str">
        <f>VLOOKUP(Y17,'[2]- DLiêu Gốc -'!$C$1:$H$132,2,0)</f>
        <v>01.003</v>
      </c>
      <c r="AA17" s="558" t="str">
        <f t="shared" ref="AA17:AA32" si="5">IF(OR(AND(BB17=36,BA17=3),AND(BB17=24,BA17=2),AND(BB17=12,BA17=1)),"Đến $",IF(OR(AND(BB17&gt;36,BA17=3),AND(BB17&gt;24,BA17=2),AND(BB17&gt;12,BA17=1)),"Dừng $","Lương"))</f>
        <v>Lương</v>
      </c>
      <c r="AB17" s="559">
        <v>6</v>
      </c>
      <c r="AC17" s="470" t="str">
        <f t="shared" ref="AC17:AC32" si="6">IF(AD17&gt;0,"/")</f>
        <v>/</v>
      </c>
      <c r="AD17" s="51">
        <f t="shared" ref="AD17:AD32" si="7">IF(OR(BD17=0.18,BD17=0.2),12,IF(BD17=0.31,10,IF(BD17=0.33,9,IF(BD17=0.34,8,IF(BD17=0.36,6)))))</f>
        <v>9</v>
      </c>
      <c r="AE17" s="560">
        <f t="shared" ref="AE17:AE32" si="8">BC17+(AB17-1)*BD17</f>
        <v>3.99</v>
      </c>
      <c r="AF17" s="561"/>
      <c r="AG17" s="51"/>
      <c r="AH17" s="562" t="s">
        <v>43</v>
      </c>
      <c r="AI17" s="563" t="s">
        <v>53</v>
      </c>
      <c r="AJ17" s="564" t="s">
        <v>45</v>
      </c>
      <c r="AK17" s="838" t="s">
        <v>53</v>
      </c>
      <c r="AL17" s="565">
        <v>2015</v>
      </c>
      <c r="AM17" s="566"/>
      <c r="AN17" s="567"/>
      <c r="AO17" s="568">
        <f t="shared" ref="AO17:AO32" si="9">AB17+1</f>
        <v>7</v>
      </c>
      <c r="AP17" s="569" t="str">
        <f t="shared" ref="AP17:AP32" si="10">IF(AD17=AB17,"%",IF(AD17&gt;AB17,"/"))</f>
        <v>/</v>
      </c>
      <c r="AQ17" s="570">
        <f t="shared" ref="AQ17:AQ32" si="11">IF(AND(AD17=AB17,AO17=4),5,IF(AND(AD17=AB17,AO17&gt;4),AO17+1,IF(AD17&gt;AB17,AD17)))</f>
        <v>9</v>
      </c>
      <c r="AR17" s="578">
        <f t="shared" ref="AR17:AR32" si="12">IF(AD17=AB17,"%",IF(AD17&gt;AB17,AE17+BD17))</f>
        <v>4.32</v>
      </c>
      <c r="AS17" s="51"/>
      <c r="AT17" s="571" t="s">
        <v>43</v>
      </c>
      <c r="AU17" s="572" t="s">
        <v>53</v>
      </c>
      <c r="AV17" s="573" t="s">
        <v>45</v>
      </c>
      <c r="AW17" s="574" t="s">
        <v>53</v>
      </c>
      <c r="AX17" s="575">
        <v>2018</v>
      </c>
      <c r="AY17" s="579"/>
      <c r="AZ17" s="125">
        <v>5</v>
      </c>
      <c r="BA17" s="107">
        <f t="shared" ref="BA17:BA32" si="13">IF(AND(AD17&gt;AB17,OR(BD17=0.18,BD17=0.2)),2,IF(AND(AD17&gt;AB17,OR(BD17=0.31,BD17=0.33,BD17=0.34,BD17=0.36)),3,IF(AD17=AB17,1)))</f>
        <v>3</v>
      </c>
      <c r="BB17" s="576">
        <f t="shared" ref="BB17:BB32" si="14">12*($AA$2-AX17)+($AA$3-AV17)-AM17</f>
        <v>-24221</v>
      </c>
      <c r="BC17" s="104">
        <f>VLOOKUP(Y17,'[2]- DLiêu Gốc -'!$C$1:$F$60,3,0)</f>
        <v>2.34</v>
      </c>
      <c r="BD17" s="104">
        <f>VLOOKUP(Y17,'[2]- DLiêu Gốc -'!$C$1:$F$60,4,0)</f>
        <v>0.33</v>
      </c>
      <c r="BE17" s="109" t="str">
        <f t="shared" ref="BE17:BE32" si="15">IF(AND(BF17&gt;3,BX17=12),"Đến %",IF(AND(BF17&gt;3,BX17&gt;12,BX17&lt;120),"Dừng %",IF(AND(BF17&gt;3,BX17&lt;12),"PCTN","o-o-o")))</f>
        <v>o-o-o</v>
      </c>
      <c r="BF17" s="110"/>
      <c r="BG17" s="212"/>
      <c r="BH17" s="112"/>
      <c r="BI17" s="410"/>
      <c r="BJ17" s="211"/>
      <c r="BK17" s="410"/>
      <c r="BL17" s="135"/>
      <c r="BM17" s="108"/>
      <c r="BN17" s="147"/>
      <c r="BO17" s="111"/>
      <c r="BP17" s="548"/>
      <c r="BQ17" s="112"/>
      <c r="BR17" s="410"/>
      <c r="BS17" s="211"/>
      <c r="BT17" s="410"/>
      <c r="BU17" s="135"/>
      <c r="BV17" s="137"/>
      <c r="BW17" s="116"/>
      <c r="BX17" s="577" t="str">
        <f t="shared" ref="BX17:BX32" si="16">IF(BF17&gt;3,(($BE$2-BU17)*12+($BE$3-BS17)-BM17),"- - -")</f>
        <v>- - -</v>
      </c>
      <c r="BY17" s="109" t="str">
        <f t="shared" ref="BY17:BY27" si="17">IF(AND(CU17="Hưu",BF17&gt;3),12-(12*(DA17-BU17)+(CZ17-BS17))-BM17,"- - -")</f>
        <v>- - -</v>
      </c>
      <c r="BZ17" s="100" t="str">
        <f t="shared" ref="BZ17:BZ32" si="18">IF(OR(S17="Ban Tổ chức - Cán bộ",S17="Văn phòng Học viện",S17="Phó Giám đốc Thường trực Học viện",S17="Phó Giám đốc Học viện"),"Chánh Văn phòng Học viện, Trưởng Ban Tổ chức - Cán bộ",IF(OR(S17="Trung tâm Ngoại ngữ",S17="Trung tâm Tin học hành chính và Công nghệ thông tin",S17="Trung tâm Tin học - Thư viện",S17="Phân viện khu vực Tây Nguyên"),"Chánh Văn phòng Học viện, Trưởng Ban Tổ chức - Cán bộ, "&amp;CONCATENATE("Giám đốc ",S17),IF(S17="Tạp chí Quản lý nhà nước","Chánh Văn phòng Học viện, Trưởng Ban Tổ chức - Cán bộ, "&amp;CONCATENATE("Tổng Biên tập ",S17),IF(S17="Văn phòng Đảng uỷ Học viện","Chánh Văn phòng Học viện, Trưởng Ban Tổ chức - Cán bộ, "&amp;CONCATENATE("Chánh",S17),IF(S17="Viện Nghiên cứu Khoa học hành chính","Chánh Văn phòng Học viện, Trưởng Ban Tổ chức - Cán bộ, "&amp;CONCATENATE("Viện Trưởng ",S17),IF(OR(S17="Cơ sở Học viện Hành chính Quốc gia khu vực miền Trung",S17="Cơ sở Học viện Hành chính Quốc gia tại Thành phố Hồ Chí Minh"),"Chánh Văn phòng Học viện, Trưởng Ban Tổ chức - Cán bộ, "&amp;CONCATENATE("Thủ trưởng ",S17),"Chánh Văn phòng Học viện, Trưởng Ban Tổ chức - Cán bộ, "&amp;CONCATENATE("Trưởng ",S17)))))))</f>
        <v>Chánh Văn phòng Học viện, Trưởng Ban Tổ chức - Cán bộ, Trưởng Ban Quản lý bồi dưỡng</v>
      </c>
      <c r="CA17" s="113" t="str">
        <f t="shared" ref="CA17:CA32" si="19">IF(S17="Cơ sở Học viện Hành chính khu vực miền Trung","B",IF(S17="Phân viện Khu vực Tây Nguyên","C",IF(S17="Cơ sở Học viện Hành chính tại thành phố Hồ Chí Minh","D","A")))</f>
        <v>A</v>
      </c>
      <c r="CB17" s="114" t="str">
        <f t="shared" ref="CB17:CB32" si="20">IF(AND(AO17&gt;0,AB17&lt;(AD17-1),CC17&gt;0,CC17&lt;13,OR(AND(CI17="Cùg Ng",($CB$2-CE17)&gt;BA17),CI17="- - -")),"Sớm TT","=&gt; s")</f>
        <v>=&gt; s</v>
      </c>
      <c r="CC17" s="103">
        <f t="shared" ref="CC17:CC32" si="21">IF(BA17=3,36-(12*($CB$2-AX17)+(12-AV17)-AM17),IF(BA17=2,24-(12*($CB$2-AX17)+(12-AV17)-AM17),"---"))</f>
        <v>24245</v>
      </c>
      <c r="CD17" s="99" t="str">
        <f t="shared" ref="CD17:CD32" si="22">IF(CE17&gt;1,"S","---")</f>
        <v>S</v>
      </c>
      <c r="CE17" s="99">
        <v>2012</v>
      </c>
      <c r="CF17" s="164" t="s">
        <v>12</v>
      </c>
      <c r="CG17" s="99"/>
      <c r="CH17" s="115"/>
      <c r="CI17" s="99" t="str">
        <f t="shared" ref="CI17:CI32" si="23">IF(X17=CF17,"Cùg Ng","- - -")</f>
        <v>Cùg Ng</v>
      </c>
      <c r="CJ17" s="116" t="str">
        <f t="shared" ref="CJ17:CJ32" si="24">IF(CL17&gt;2000,"NN","- - -")</f>
        <v>- - -</v>
      </c>
      <c r="CK17" s="117"/>
      <c r="CL17" s="118"/>
      <c r="CM17" s="117"/>
      <c r="CN17" s="119"/>
      <c r="CO17" s="116" t="str">
        <f t="shared" ref="CO17:CO32" si="25">IF(CQ17&gt;2000,"CN","- - -")</f>
        <v>- - -</v>
      </c>
      <c r="CP17" s="117"/>
      <c r="CQ17" s="118"/>
      <c r="CR17" s="117"/>
      <c r="CS17" s="119"/>
      <c r="CT17" s="120" t="str">
        <f t="shared" ref="CT17:CT26" si="26">IF(AND(CU17="Hưu",AB17&lt;(AD17-1),DB17&gt;0,DB17&lt;18,OR(BF17&lt;4,AND(BF17&gt;3,OR(BY17&lt;3,BY17&gt;5)))),"Lg Sớm",IF(AND(CU17="Hưu",AB17&gt;(AD17-2),OR(BD17=0.33,BD17=0.34),OR(BF17&lt;4,AND(BF17&gt;3,OR(BY17&lt;3,BY17&gt;5)))),"Nâng Ngạch",IF(AND(CU17="Hưu",BA17=1,DB17&gt;2,DB17&lt;6,OR(BF17&lt;4,AND(BF17&gt;3,OR(BY17&lt;3,BY17&gt;5)))),"Nâng PcVK cùng QĐ",IF(AND(CU17="Hưu",BF17&gt;3,BY17&gt;2,BY17&lt;6,AB17&lt;(AD17-1),DB17&gt;17,OR(BA17&gt;1,AND(BA17=1,OR(DB17&lt;3,DB17&gt;5)))),"Nâng PcNG cùng QĐ",IF(AND(CU17="Hưu",AB17&lt;(AD17-1),DB17&gt;0,DB17&lt;18,BF17&gt;3,BY17&gt;2,BY17&lt;6),"Nâng Lg Sớm +(PcNG cùng QĐ)",IF(AND(CU17="Hưu",AB17&gt;(AD17-2),OR(BD17=0.33,BD17=0.34),BF17&gt;3,BY17&gt;2,BY17&lt;6),"Nâng Ngạch +(PcNG cùng QĐ)",IF(AND(CU17="Hưu",BA17=1,DB17&gt;2,DB17&lt;6,BF17&gt;3,BY17&gt;2,BY17&lt;6),"Nâng (PcVK +PcNG) cùng QĐ",("---"))))))))</f>
        <v>---</v>
      </c>
      <c r="CU17" s="148" t="str">
        <f t="shared" ref="CU17:CU32" si="27">IF(AND(DF17&gt;DE17,DF17&lt;(DE17+13)),"Hưu",IF(AND(DF17&gt;(DE17+12),DF17&lt;1000),"Quá","/-/ /-/"))</f>
        <v>/-/ /-/</v>
      </c>
      <c r="CV17" s="121">
        <f t="shared" ref="CV17:CV32" si="28">IF((I17+0)&lt;12,(I17+0)+1,IF((I17+0)=12,1,IF((I17+0)&gt;12,(I17+0)-12)))</f>
        <v>12</v>
      </c>
      <c r="CW17" s="122">
        <f t="shared" ref="CW17:CW32" si="29">IF(OR((I17+0)=12,(I17+0)&gt;12),K17+DE17/12+1,IF(AND((I17+0)&gt;0,(I17+0)&lt;12),K17+DE17/12,"---"))</f>
        <v>2028</v>
      </c>
      <c r="CX17" s="121">
        <f t="shared" ref="CX17:CX32" si="30">IF(AND(CV17&gt;3,CV17&lt;13),CV17-3,IF(CV17&lt;4,CV17-3+12))</f>
        <v>9</v>
      </c>
      <c r="CY17" s="122">
        <f t="shared" ref="CY17:CY32" si="31">IF(CX17&lt;CV17,CW17,IF(CX17&gt;CV17,CW17-1))</f>
        <v>2028</v>
      </c>
      <c r="CZ17" s="121">
        <f t="shared" ref="CZ17:CZ32" si="32">IF(CV17&gt;6,CV17-6,IF(CV17=6,12,IF(CV17&lt;6,CV17+6)))</f>
        <v>6</v>
      </c>
      <c r="DA17" s="122">
        <f t="shared" ref="DA17:DA32" si="33">IF(CV17&gt;6,CW17,IF(CV17&lt;7,CW17-1))</f>
        <v>2028</v>
      </c>
      <c r="DB17" s="123" t="str">
        <f t="shared" ref="DB17:DB32" si="34">IF(AND(CU17="Hưu",BA17=3),36+AM17-(12*(DA17-AX17)+(CZ17-AV17)),IF(AND(CU17="Hưu",BA17=2),24+AM17-(12*(DA17-AX17)+(CZ17-AV17)),IF(AND(CU17="Hưu",BA17=1),12+AM17-(12*(DA17-AX17)+(CZ17-AV17)),"- - -")))</f>
        <v>- - -</v>
      </c>
      <c r="DC17" s="124" t="str">
        <f t="shared" ref="DC17:DC32" si="35">IF(DD17&gt;0,"K.Dài",". .")</f>
        <v>. .</v>
      </c>
      <c r="DD17" s="124"/>
      <c r="DE17" s="103">
        <f t="shared" ref="DE17:DE32" si="36">IF(F17="Nam",(60+DD17)*12,IF(F17="Nữ",(55+DD17)*12,))</f>
        <v>660</v>
      </c>
      <c r="DF17" s="103">
        <f t="shared" ref="DF17:DF32" si="37">12*($CU$4-K17)+(12-I17)</f>
        <v>-23675</v>
      </c>
      <c r="DG17" s="103">
        <f t="shared" ref="DG17:DG32" si="38">$DK$4-K17</f>
        <v>-1973</v>
      </c>
      <c r="DH17" s="103" t="str">
        <f t="shared" ref="DH17:DH32" si="39">IF(AND(DG17&lt;35,F17="Nam"),"Nam dưới 35",IF(AND(DG17&lt;30,F17="Nữ"),"Nữ dưới 30",IF(AND(DG17&gt;34,DG17&lt;46,F17="Nam"),"Nam từ 35 - 45",IF(AND(DG17&gt;29,DG17&lt;41,F17="Nữ"),"Nữ từ 30 - 40",IF(AND(DG17&gt;45,DG17&lt;56,F17="Nam"),"Nam trên 45 - 55",IF(AND(DG17&gt;40,DG17&lt;51,F17="Nữ"),"Nữ trên 40 - 50",IF(AND(DG17&gt;55,F17="Nam"),"Nam trên 55","Nữ trên 50")))))))</f>
        <v>Nữ dưới 30</v>
      </c>
      <c r="DI17" s="103"/>
      <c r="DJ17" s="103"/>
      <c r="DK17" s="109" t="str">
        <f t="shared" ref="DK17:DK32" si="40">IF(DG17&lt;31,"Đến 30",IF(AND(DG17&gt;30,DG17&lt;46),"31 - 45",IF(AND(DG17&gt;45,DG17&lt;70),"Trên 45")))</f>
        <v>Đến 30</v>
      </c>
      <c r="DL17" s="117" t="str">
        <f t="shared" ref="DL17:DL32" si="41">IF(DM17&gt;0,"TD","--")</f>
        <v>--</v>
      </c>
      <c r="DM17" s="101"/>
      <c r="DN17" s="99"/>
      <c r="DO17" s="136"/>
      <c r="DP17" s="101"/>
      <c r="DQ17" s="119"/>
      <c r="DR17" s="125"/>
      <c r="DS17" s="126"/>
      <c r="DT17" s="127"/>
      <c r="DU17" s="128"/>
      <c r="DV17" s="102" t="s">
        <v>133</v>
      </c>
      <c r="DW17" s="105" t="s">
        <v>176</v>
      </c>
      <c r="DX17" s="106" t="s">
        <v>133</v>
      </c>
      <c r="DY17" s="141" t="s">
        <v>43</v>
      </c>
      <c r="DZ17" s="106" t="s">
        <v>53</v>
      </c>
      <c r="EA17" s="129" t="s">
        <v>45</v>
      </c>
      <c r="EB17" s="106" t="s">
        <v>53</v>
      </c>
      <c r="EC17" s="130">
        <v>2012</v>
      </c>
      <c r="ED17" s="105">
        <f t="shared" ref="ED17:ED32" si="42">(DY17+0)-(EF17+0)</f>
        <v>0</v>
      </c>
      <c r="EE17" s="106" t="str">
        <f t="shared" ref="EE17:EE32" si="43">IF(ED17&gt;0,"Sửa","- - -")</f>
        <v>- - -</v>
      </c>
      <c r="EF17" s="141" t="s">
        <v>43</v>
      </c>
      <c r="EG17" s="106" t="s">
        <v>53</v>
      </c>
      <c r="EH17" s="129" t="s">
        <v>45</v>
      </c>
      <c r="EI17" s="99" t="s">
        <v>53</v>
      </c>
      <c r="EJ17" s="116">
        <v>2012</v>
      </c>
      <c r="EK17" s="131"/>
      <c r="EL17" s="128" t="str">
        <f t="shared" ref="EL17:EL32" si="44">IF(AND(BD17&gt;0.34,AO17=1,OR(BC17=6.2,BC17=5.75)),((BC17-EK17)-2*0.34),IF(AND(BD17&gt;0.33,AO17=1,OR(BC17=4.4,BC17=4)),((BC17-EK17)-2*0.33),"- - -"))</f>
        <v>- - -</v>
      </c>
      <c r="EM17" s="132" t="str">
        <f t="shared" ref="EM17:EM32" si="45">IF(CU17="Hưu",12*(DA17-AX17)+(CZ17-AV17),"---")</f>
        <v>---</v>
      </c>
      <c r="FP17" s="863"/>
      <c r="FQ17" s="863"/>
      <c r="FR17" s="863"/>
      <c r="FS17" s="863"/>
      <c r="FT17" s="863"/>
      <c r="FU17" s="863"/>
      <c r="FV17" s="863"/>
      <c r="FW17" s="863"/>
      <c r="FX17" s="863"/>
      <c r="FY17" s="863"/>
      <c r="FZ17" s="863"/>
      <c r="GA17" s="863"/>
      <c r="GB17" s="863"/>
      <c r="GC17" s="863"/>
      <c r="GD17" s="863"/>
      <c r="GE17" s="863"/>
      <c r="GF17" s="863"/>
      <c r="GG17" s="863"/>
      <c r="GH17" s="863"/>
      <c r="GI17" s="863"/>
      <c r="GJ17" s="863"/>
      <c r="GK17" s="863"/>
      <c r="GL17" s="863"/>
      <c r="GM17" s="863"/>
      <c r="GN17" s="863"/>
      <c r="GO17" s="863"/>
      <c r="GP17" s="863"/>
      <c r="GQ17" s="863"/>
      <c r="GR17" s="863"/>
      <c r="GS17" s="863"/>
      <c r="GT17" s="863"/>
    </row>
    <row r="18" spans="1:202" s="132" customFormat="1" ht="24" customHeight="1" x14ac:dyDescent="0.2">
      <c r="A18" s="547">
        <v>60</v>
      </c>
      <c r="B18" s="322">
        <v>2</v>
      </c>
      <c r="C18" s="99"/>
      <c r="D18" s="99" t="str">
        <f t="shared" si="0"/>
        <v>Bà</v>
      </c>
      <c r="E18" s="549" t="s">
        <v>177</v>
      </c>
      <c r="F18" s="550" t="s">
        <v>64</v>
      </c>
      <c r="G18" s="551" t="s">
        <v>32</v>
      </c>
      <c r="H18" s="551" t="s">
        <v>53</v>
      </c>
      <c r="I18" s="551" t="s">
        <v>58</v>
      </c>
      <c r="J18" s="98" t="s">
        <v>53</v>
      </c>
      <c r="K18" s="98" t="s">
        <v>178</v>
      </c>
      <c r="L18" s="98" t="s">
        <v>83</v>
      </c>
      <c r="M18" s="98" t="str">
        <f t="shared" si="1"/>
        <v>VC</v>
      </c>
      <c r="N18" s="98"/>
      <c r="O18" s="98" t="e">
        <f t="shared" si="2"/>
        <v>#N/A</v>
      </c>
      <c r="P18" s="98"/>
      <c r="Q18" s="549" t="e">
        <f>VLOOKUP(P18,'[2]- DLiêu Gốc -'!$C$2:$H$114,2,0)</f>
        <v>#N/A</v>
      </c>
      <c r="R18" s="580" t="s">
        <v>133</v>
      </c>
      <c r="S18" s="552" t="s">
        <v>134</v>
      </c>
      <c r="T18" s="553" t="str">
        <f>VLOOKUP(Y18,'[2]- DLiêu Gốc -'!$C$2:$H$60,5,0)</f>
        <v>A1</v>
      </c>
      <c r="U18" s="553" t="str">
        <f>VLOOKUP(Y18,'[2]- DLiêu Gốc -'!$C$2:$H$60,6,0)</f>
        <v>- - -</v>
      </c>
      <c r="V18" s="554" t="s">
        <v>74</v>
      </c>
      <c r="W18" s="555" t="str">
        <f t="shared" si="3"/>
        <v>Chuyên viên</v>
      </c>
      <c r="X18" s="556" t="str">
        <f t="shared" si="4"/>
        <v>01.003</v>
      </c>
      <c r="Y18" s="557" t="s">
        <v>42</v>
      </c>
      <c r="Z18" s="556" t="str">
        <f>VLOOKUP(Y18,'[2]- DLiêu Gốc -'!$C$1:$H$132,2,0)</f>
        <v>01.003</v>
      </c>
      <c r="AA18" s="558" t="str">
        <f t="shared" si="5"/>
        <v>Lương</v>
      </c>
      <c r="AB18" s="559">
        <v>4</v>
      </c>
      <c r="AC18" s="470" t="str">
        <f t="shared" si="6"/>
        <v>/</v>
      </c>
      <c r="AD18" s="51">
        <f t="shared" si="7"/>
        <v>9</v>
      </c>
      <c r="AE18" s="560">
        <f t="shared" si="8"/>
        <v>3.33</v>
      </c>
      <c r="AF18" s="561"/>
      <c r="AG18" s="51"/>
      <c r="AH18" s="562" t="s">
        <v>43</v>
      </c>
      <c r="AI18" s="563" t="s">
        <v>53</v>
      </c>
      <c r="AJ18" s="564" t="s">
        <v>45</v>
      </c>
      <c r="AK18" s="838" t="s">
        <v>53</v>
      </c>
      <c r="AL18" s="565">
        <v>2015</v>
      </c>
      <c r="AM18" s="566"/>
      <c r="AN18" s="567"/>
      <c r="AO18" s="568">
        <f t="shared" si="9"/>
        <v>5</v>
      </c>
      <c r="AP18" s="569" t="str">
        <f t="shared" si="10"/>
        <v>/</v>
      </c>
      <c r="AQ18" s="570">
        <f t="shared" si="11"/>
        <v>9</v>
      </c>
      <c r="AR18" s="578">
        <f t="shared" si="12"/>
        <v>3.66</v>
      </c>
      <c r="AS18" s="51"/>
      <c r="AT18" s="571" t="s">
        <v>43</v>
      </c>
      <c r="AU18" s="572" t="s">
        <v>53</v>
      </c>
      <c r="AV18" s="573" t="s">
        <v>45</v>
      </c>
      <c r="AW18" s="574" t="s">
        <v>53</v>
      </c>
      <c r="AX18" s="575">
        <v>2018</v>
      </c>
      <c r="AY18" s="579"/>
      <c r="AZ18" s="125">
        <v>5</v>
      </c>
      <c r="BA18" s="107">
        <f t="shared" si="13"/>
        <v>3</v>
      </c>
      <c r="BB18" s="576">
        <f t="shared" si="14"/>
        <v>-24221</v>
      </c>
      <c r="BC18" s="104">
        <f>VLOOKUP(Y18,'[2]- DLiêu Gốc -'!$C$1:$F$60,3,0)</f>
        <v>2.34</v>
      </c>
      <c r="BD18" s="104">
        <f>VLOOKUP(Y18,'[2]- DLiêu Gốc -'!$C$1:$F$60,4,0)</f>
        <v>0.33</v>
      </c>
      <c r="BE18" s="109" t="str">
        <f t="shared" si="15"/>
        <v>o-o-o</v>
      </c>
      <c r="BF18" s="110"/>
      <c r="BG18" s="212"/>
      <c r="BH18" s="112"/>
      <c r="BI18" s="410"/>
      <c r="BJ18" s="211"/>
      <c r="BK18" s="410"/>
      <c r="BL18" s="135"/>
      <c r="BM18" s="108"/>
      <c r="BN18" s="147"/>
      <c r="BO18" s="111"/>
      <c r="BP18" s="548"/>
      <c r="BQ18" s="112"/>
      <c r="BR18" s="410"/>
      <c r="BS18" s="211"/>
      <c r="BT18" s="410"/>
      <c r="BU18" s="135"/>
      <c r="BV18" s="137"/>
      <c r="BW18" s="116"/>
      <c r="BX18" s="577" t="str">
        <f t="shared" si="16"/>
        <v>- - -</v>
      </c>
      <c r="BY18" s="109" t="str">
        <f t="shared" si="17"/>
        <v>- - -</v>
      </c>
      <c r="BZ18" s="100" t="str">
        <f t="shared" si="18"/>
        <v>Chánh Văn phòng Học viện, Trưởng Ban Tổ chức - Cán bộ, Trưởng Ban Quản lý bồi dưỡng</v>
      </c>
      <c r="CA18" s="113" t="str">
        <f t="shared" si="19"/>
        <v>A</v>
      </c>
      <c r="CB18" s="114" t="str">
        <f t="shared" si="20"/>
        <v>=&gt; s</v>
      </c>
      <c r="CC18" s="103">
        <f t="shared" si="21"/>
        <v>24245</v>
      </c>
      <c r="CD18" s="99" t="str">
        <f t="shared" si="22"/>
        <v>---</v>
      </c>
      <c r="CE18" s="99"/>
      <c r="CF18" s="164"/>
      <c r="CG18" s="99"/>
      <c r="CH18" s="115"/>
      <c r="CI18" s="99" t="str">
        <f t="shared" si="23"/>
        <v>- - -</v>
      </c>
      <c r="CJ18" s="116" t="str">
        <f t="shared" si="24"/>
        <v>- - -</v>
      </c>
      <c r="CK18" s="117"/>
      <c r="CL18" s="118"/>
      <c r="CM18" s="117"/>
      <c r="CN18" s="119"/>
      <c r="CO18" s="116" t="str">
        <f t="shared" si="25"/>
        <v>- - -</v>
      </c>
      <c r="CP18" s="117"/>
      <c r="CQ18" s="118"/>
      <c r="CR18" s="117"/>
      <c r="CS18" s="119"/>
      <c r="CT18" s="120" t="str">
        <f t="shared" si="26"/>
        <v>---</v>
      </c>
      <c r="CU18" s="148" t="str">
        <f t="shared" si="27"/>
        <v>/-/ /-/</v>
      </c>
      <c r="CV18" s="121">
        <f t="shared" si="28"/>
        <v>12</v>
      </c>
      <c r="CW18" s="122">
        <f t="shared" si="29"/>
        <v>2031</v>
      </c>
      <c r="CX18" s="121">
        <f t="shared" si="30"/>
        <v>9</v>
      </c>
      <c r="CY18" s="122">
        <f t="shared" si="31"/>
        <v>2031</v>
      </c>
      <c r="CZ18" s="121">
        <f t="shared" si="32"/>
        <v>6</v>
      </c>
      <c r="DA18" s="122">
        <f t="shared" si="33"/>
        <v>2031</v>
      </c>
      <c r="DB18" s="123" t="str">
        <f t="shared" si="34"/>
        <v>- - -</v>
      </c>
      <c r="DC18" s="124" t="str">
        <f t="shared" si="35"/>
        <v>. .</v>
      </c>
      <c r="DD18" s="124"/>
      <c r="DE18" s="103">
        <f t="shared" si="36"/>
        <v>660</v>
      </c>
      <c r="DF18" s="103">
        <f t="shared" si="37"/>
        <v>-23711</v>
      </c>
      <c r="DG18" s="103">
        <f t="shared" si="38"/>
        <v>-1976</v>
      </c>
      <c r="DH18" s="103" t="str">
        <f t="shared" si="39"/>
        <v>Nữ dưới 30</v>
      </c>
      <c r="DI18" s="103"/>
      <c r="DJ18" s="103"/>
      <c r="DK18" s="109" t="str">
        <f t="shared" si="40"/>
        <v>Đến 30</v>
      </c>
      <c r="DL18" s="117" t="str">
        <f t="shared" si="41"/>
        <v>TD</v>
      </c>
      <c r="DM18" s="101">
        <v>2012</v>
      </c>
      <c r="DN18" s="99"/>
      <c r="DO18" s="136"/>
      <c r="DP18" s="101"/>
      <c r="DQ18" s="119"/>
      <c r="DR18" s="125"/>
      <c r="DS18" s="126"/>
      <c r="DT18" s="127"/>
      <c r="DU18" s="128"/>
      <c r="DV18" s="102" t="s">
        <v>133</v>
      </c>
      <c r="DW18" s="105" t="s">
        <v>176</v>
      </c>
      <c r="DX18" s="106" t="s">
        <v>133</v>
      </c>
      <c r="DY18" s="141" t="s">
        <v>43</v>
      </c>
      <c r="DZ18" s="106" t="s">
        <v>53</v>
      </c>
      <c r="EA18" s="129" t="s">
        <v>45</v>
      </c>
      <c r="EB18" s="106" t="s">
        <v>53</v>
      </c>
      <c r="EC18" s="130">
        <v>2012</v>
      </c>
      <c r="ED18" s="105">
        <f t="shared" si="42"/>
        <v>0</v>
      </c>
      <c r="EE18" s="106" t="str">
        <f t="shared" si="43"/>
        <v>- - -</v>
      </c>
      <c r="EF18" s="141" t="s">
        <v>43</v>
      </c>
      <c r="EG18" s="106" t="s">
        <v>53</v>
      </c>
      <c r="EH18" s="129" t="s">
        <v>45</v>
      </c>
      <c r="EI18" s="99" t="s">
        <v>53</v>
      </c>
      <c r="EJ18" s="116">
        <v>2012</v>
      </c>
      <c r="EK18" s="131"/>
      <c r="EL18" s="128" t="str">
        <f t="shared" si="44"/>
        <v>- - -</v>
      </c>
      <c r="EM18" s="132" t="str">
        <f t="shared" si="45"/>
        <v>---</v>
      </c>
      <c r="FP18" s="863"/>
      <c r="FQ18" s="863"/>
      <c r="FR18" s="863"/>
      <c r="FS18" s="863"/>
      <c r="FT18" s="863"/>
      <c r="FU18" s="863"/>
      <c r="FV18" s="863"/>
      <c r="FW18" s="863"/>
      <c r="FX18" s="863"/>
      <c r="FY18" s="863"/>
      <c r="FZ18" s="863"/>
      <c r="GA18" s="863"/>
      <c r="GB18" s="863"/>
      <c r="GC18" s="863"/>
      <c r="GD18" s="863"/>
      <c r="GE18" s="863"/>
      <c r="GF18" s="863"/>
      <c r="GG18" s="863"/>
      <c r="GH18" s="863"/>
      <c r="GI18" s="863"/>
      <c r="GJ18" s="863"/>
      <c r="GK18" s="863"/>
      <c r="GL18" s="863"/>
      <c r="GM18" s="863"/>
      <c r="GN18" s="863"/>
      <c r="GO18" s="863"/>
      <c r="GP18" s="863"/>
      <c r="GQ18" s="863"/>
      <c r="GR18" s="863"/>
      <c r="GS18" s="863"/>
      <c r="GT18" s="863"/>
    </row>
    <row r="19" spans="1:202" s="132" customFormat="1" ht="27" customHeight="1" x14ac:dyDescent="0.2">
      <c r="A19" s="547">
        <v>100</v>
      </c>
      <c r="B19" s="322">
        <v>3</v>
      </c>
      <c r="C19" s="99"/>
      <c r="D19" s="99" t="str">
        <f t="shared" si="0"/>
        <v>Ông</v>
      </c>
      <c r="E19" s="549" t="s">
        <v>179</v>
      </c>
      <c r="F19" s="550" t="s">
        <v>63</v>
      </c>
      <c r="G19" s="551" t="s">
        <v>180</v>
      </c>
      <c r="H19" s="551" t="s">
        <v>53</v>
      </c>
      <c r="I19" s="551">
        <v>5</v>
      </c>
      <c r="J19" s="98" t="s">
        <v>53</v>
      </c>
      <c r="K19" s="98">
        <v>1966</v>
      </c>
      <c r="L19" s="98" t="s">
        <v>83</v>
      </c>
      <c r="M19" s="98" t="str">
        <f t="shared" si="1"/>
        <v>VC</v>
      </c>
      <c r="N19" s="98"/>
      <c r="O19" s="98" t="str">
        <f t="shared" si="2"/>
        <v>CVụ</v>
      </c>
      <c r="P19" s="98" t="s">
        <v>132</v>
      </c>
      <c r="Q19" s="549">
        <f>VLOOKUP(P19,'[2]- DLiêu Gốc -'!$C$2:$H$114,2,0)</f>
        <v>0.4</v>
      </c>
      <c r="R19" s="580" t="s">
        <v>136</v>
      </c>
      <c r="S19" s="552" t="s">
        <v>144</v>
      </c>
      <c r="T19" s="553" t="str">
        <f>VLOOKUP(Y19,'[2]- DLiêu Gốc -'!$C$2:$H$60,5,0)</f>
        <v>A2</v>
      </c>
      <c r="U19" s="553" t="str">
        <f>VLOOKUP(Y19,'[2]- DLiêu Gốc -'!$C$2:$H$60,6,0)</f>
        <v>A2.1</v>
      </c>
      <c r="V19" s="554" t="s">
        <v>74</v>
      </c>
      <c r="W19" s="555" t="str">
        <f t="shared" si="3"/>
        <v>Chuyên viên chính</v>
      </c>
      <c r="X19" s="556" t="str">
        <f t="shared" si="4"/>
        <v>01.002</v>
      </c>
      <c r="Y19" s="557" t="s">
        <v>181</v>
      </c>
      <c r="Z19" s="556" t="str">
        <f>VLOOKUP(Y19,'[2]- DLiêu Gốc -'!$C$1:$H$132,2,0)</f>
        <v>01.002</v>
      </c>
      <c r="AA19" s="558" t="str">
        <f t="shared" si="5"/>
        <v>Lương</v>
      </c>
      <c r="AB19" s="559">
        <v>2</v>
      </c>
      <c r="AC19" s="470" t="str">
        <f t="shared" si="6"/>
        <v>/</v>
      </c>
      <c r="AD19" s="51">
        <f t="shared" si="7"/>
        <v>8</v>
      </c>
      <c r="AE19" s="560">
        <f t="shared" si="8"/>
        <v>4.74</v>
      </c>
      <c r="AF19" s="561"/>
      <c r="AG19" s="51"/>
      <c r="AH19" s="562" t="s">
        <v>43</v>
      </c>
      <c r="AI19" s="563" t="s">
        <v>53</v>
      </c>
      <c r="AJ19" s="564" t="s">
        <v>45</v>
      </c>
      <c r="AK19" s="838" t="s">
        <v>53</v>
      </c>
      <c r="AL19" s="565">
        <v>2015</v>
      </c>
      <c r="AM19" s="566"/>
      <c r="AN19" s="567"/>
      <c r="AO19" s="568">
        <f t="shared" si="9"/>
        <v>3</v>
      </c>
      <c r="AP19" s="569" t="str">
        <f t="shared" si="10"/>
        <v>/</v>
      </c>
      <c r="AQ19" s="570">
        <f t="shared" si="11"/>
        <v>8</v>
      </c>
      <c r="AR19" s="578">
        <f t="shared" si="12"/>
        <v>5.08</v>
      </c>
      <c r="AS19" s="51"/>
      <c r="AT19" s="571" t="s">
        <v>43</v>
      </c>
      <c r="AU19" s="572" t="s">
        <v>53</v>
      </c>
      <c r="AV19" s="573" t="s">
        <v>45</v>
      </c>
      <c r="AW19" s="574" t="s">
        <v>53</v>
      </c>
      <c r="AX19" s="575">
        <v>2018</v>
      </c>
      <c r="AY19" s="579"/>
      <c r="AZ19" s="125">
        <v>5</v>
      </c>
      <c r="BA19" s="107">
        <f t="shared" si="13"/>
        <v>3</v>
      </c>
      <c r="BB19" s="576">
        <f t="shared" si="14"/>
        <v>-24221</v>
      </c>
      <c r="BC19" s="104">
        <f>VLOOKUP(Y19,'[2]- DLiêu Gốc -'!$C$1:$F$60,3,0)</f>
        <v>4.4000000000000004</v>
      </c>
      <c r="BD19" s="104">
        <f>VLOOKUP(Y19,'[2]- DLiêu Gốc -'!$C$1:$F$60,4,0)</f>
        <v>0.34</v>
      </c>
      <c r="BE19" s="109" t="str">
        <f t="shared" si="15"/>
        <v>o-o-o</v>
      </c>
      <c r="BF19" s="110"/>
      <c r="BG19" s="212"/>
      <c r="BH19" s="112"/>
      <c r="BI19" s="410"/>
      <c r="BJ19" s="211"/>
      <c r="BK19" s="410"/>
      <c r="BL19" s="135"/>
      <c r="BM19" s="108"/>
      <c r="BN19" s="147"/>
      <c r="BO19" s="111"/>
      <c r="BP19" s="548"/>
      <c r="BQ19" s="112"/>
      <c r="BR19" s="410"/>
      <c r="BS19" s="211"/>
      <c r="BT19" s="410"/>
      <c r="BU19" s="135"/>
      <c r="BV19" s="137"/>
      <c r="BW19" s="116"/>
      <c r="BX19" s="577" t="str">
        <f t="shared" si="16"/>
        <v>- - -</v>
      </c>
      <c r="BY19" s="109" t="str">
        <f t="shared" si="17"/>
        <v>- - -</v>
      </c>
      <c r="BZ19" s="100" t="str">
        <f t="shared" si="18"/>
        <v>Chánh Văn phòng Học viện, Trưởng Ban Tổ chức - Cán bộ, Trưởng Ban Quản lý đào tạo Sau đại học</v>
      </c>
      <c r="CA19" s="113" t="str">
        <f t="shared" si="19"/>
        <v>A</v>
      </c>
      <c r="CB19" s="114" t="str">
        <f t="shared" si="20"/>
        <v>=&gt; s</v>
      </c>
      <c r="CC19" s="103">
        <f t="shared" si="21"/>
        <v>24245</v>
      </c>
      <c r="CD19" s="99" t="str">
        <f t="shared" si="22"/>
        <v>---</v>
      </c>
      <c r="CE19" s="99"/>
      <c r="CF19" s="164"/>
      <c r="CG19" s="99"/>
      <c r="CH19" s="115"/>
      <c r="CI19" s="99" t="str">
        <f t="shared" si="23"/>
        <v>- - -</v>
      </c>
      <c r="CJ19" s="116" t="str">
        <f t="shared" si="24"/>
        <v>NN</v>
      </c>
      <c r="CK19" s="117">
        <v>11</v>
      </c>
      <c r="CL19" s="118">
        <v>2012</v>
      </c>
      <c r="CM19" s="117"/>
      <c r="CN19" s="119"/>
      <c r="CO19" s="116" t="str">
        <f t="shared" si="25"/>
        <v>- - -</v>
      </c>
      <c r="CP19" s="117"/>
      <c r="CQ19" s="118"/>
      <c r="CR19" s="117"/>
      <c r="CS19" s="119"/>
      <c r="CT19" s="120" t="str">
        <f t="shared" si="26"/>
        <v>---</v>
      </c>
      <c r="CU19" s="148" t="str">
        <f t="shared" si="27"/>
        <v>/-/ /-/</v>
      </c>
      <c r="CV19" s="121">
        <f t="shared" si="28"/>
        <v>6</v>
      </c>
      <c r="CW19" s="122">
        <f t="shared" si="29"/>
        <v>2026</v>
      </c>
      <c r="CX19" s="121">
        <f t="shared" si="30"/>
        <v>3</v>
      </c>
      <c r="CY19" s="122">
        <f t="shared" si="31"/>
        <v>2026</v>
      </c>
      <c r="CZ19" s="121">
        <f t="shared" si="32"/>
        <v>12</v>
      </c>
      <c r="DA19" s="122">
        <f t="shared" si="33"/>
        <v>2025</v>
      </c>
      <c r="DB19" s="123" t="str">
        <f t="shared" si="34"/>
        <v>- - -</v>
      </c>
      <c r="DC19" s="124" t="str">
        <f t="shared" si="35"/>
        <v>. .</v>
      </c>
      <c r="DD19" s="124"/>
      <c r="DE19" s="103">
        <f t="shared" si="36"/>
        <v>720</v>
      </c>
      <c r="DF19" s="103">
        <f t="shared" si="37"/>
        <v>-23585</v>
      </c>
      <c r="DG19" s="103">
        <f t="shared" si="38"/>
        <v>-1966</v>
      </c>
      <c r="DH19" s="103" t="str">
        <f t="shared" si="39"/>
        <v>Nam dưới 35</v>
      </c>
      <c r="DI19" s="103"/>
      <c r="DJ19" s="103"/>
      <c r="DK19" s="109" t="str">
        <f t="shared" si="40"/>
        <v>Đến 30</v>
      </c>
      <c r="DL19" s="117" t="str">
        <f t="shared" si="41"/>
        <v>TD</v>
      </c>
      <c r="DM19" s="101">
        <v>2009</v>
      </c>
      <c r="DN19" s="99"/>
      <c r="DO19" s="136"/>
      <c r="DP19" s="101"/>
      <c r="DQ19" s="119"/>
      <c r="DR19" s="125"/>
      <c r="DS19" s="126"/>
      <c r="DT19" s="127"/>
      <c r="DU19" s="128"/>
      <c r="DV19" s="102" t="s">
        <v>136</v>
      </c>
      <c r="DW19" s="105" t="s">
        <v>176</v>
      </c>
      <c r="DX19" s="106" t="s">
        <v>136</v>
      </c>
      <c r="DY19" s="141" t="s">
        <v>43</v>
      </c>
      <c r="DZ19" s="106" t="s">
        <v>53</v>
      </c>
      <c r="EA19" s="129" t="s">
        <v>45</v>
      </c>
      <c r="EB19" s="106" t="s">
        <v>53</v>
      </c>
      <c r="EC19" s="130">
        <v>2012</v>
      </c>
      <c r="ED19" s="105">
        <f t="shared" si="42"/>
        <v>0</v>
      </c>
      <c r="EE19" s="106" t="str">
        <f t="shared" si="43"/>
        <v>- - -</v>
      </c>
      <c r="EF19" s="141" t="s">
        <v>43</v>
      </c>
      <c r="EG19" s="106" t="s">
        <v>53</v>
      </c>
      <c r="EH19" s="129" t="s">
        <v>45</v>
      </c>
      <c r="EI19" s="99" t="s">
        <v>53</v>
      </c>
      <c r="EJ19" s="116">
        <v>2012</v>
      </c>
      <c r="EK19" s="131">
        <v>3.66</v>
      </c>
      <c r="EL19" s="128" t="str">
        <f t="shared" si="44"/>
        <v>- - -</v>
      </c>
      <c r="EM19" s="132" t="str">
        <f t="shared" si="45"/>
        <v>---</v>
      </c>
      <c r="FP19" s="863"/>
      <c r="FQ19" s="863"/>
      <c r="FR19" s="863"/>
      <c r="FS19" s="863"/>
      <c r="FT19" s="863"/>
      <c r="FU19" s="863"/>
      <c r="FV19" s="863"/>
      <c r="FW19" s="863"/>
      <c r="FX19" s="863"/>
      <c r="FY19" s="863"/>
      <c r="FZ19" s="863"/>
      <c r="GA19" s="863"/>
      <c r="GB19" s="863"/>
      <c r="GC19" s="863"/>
      <c r="GD19" s="863"/>
      <c r="GE19" s="863"/>
      <c r="GF19" s="863"/>
      <c r="GG19" s="863"/>
      <c r="GH19" s="863"/>
      <c r="GI19" s="863"/>
      <c r="GJ19" s="863"/>
      <c r="GK19" s="863"/>
      <c r="GL19" s="863"/>
      <c r="GM19" s="863"/>
      <c r="GN19" s="863"/>
      <c r="GO19" s="863"/>
      <c r="GP19" s="863"/>
      <c r="GQ19" s="863"/>
      <c r="GR19" s="863"/>
      <c r="GS19" s="863"/>
      <c r="GT19" s="863"/>
    </row>
    <row r="20" spans="1:202" s="132" customFormat="1" ht="27" customHeight="1" x14ac:dyDescent="0.2">
      <c r="A20" s="547">
        <v>166</v>
      </c>
      <c r="B20" s="322">
        <v>4</v>
      </c>
      <c r="C20" s="99"/>
      <c r="D20" s="99" t="str">
        <f t="shared" si="0"/>
        <v>Ông</v>
      </c>
      <c r="E20" s="549" t="s">
        <v>182</v>
      </c>
      <c r="F20" s="550" t="s">
        <v>63</v>
      </c>
      <c r="G20" s="551" t="s">
        <v>57</v>
      </c>
      <c r="H20" s="551" t="s">
        <v>53</v>
      </c>
      <c r="I20" s="551">
        <v>5</v>
      </c>
      <c r="J20" s="98" t="s">
        <v>53</v>
      </c>
      <c r="K20" s="98">
        <v>1976</v>
      </c>
      <c r="L20" s="98" t="s">
        <v>83</v>
      </c>
      <c r="M20" s="98" t="str">
        <f t="shared" si="1"/>
        <v>VC</v>
      </c>
      <c r="N20" s="98"/>
      <c r="O20" s="98" t="str">
        <f t="shared" si="2"/>
        <v>CVụ</v>
      </c>
      <c r="P20" s="98" t="s">
        <v>160</v>
      </c>
      <c r="Q20" s="549">
        <f>VLOOKUP(P20,'[2]- DLiêu Gốc -'!$C$2:$H$114,2,0)</f>
        <v>0.6</v>
      </c>
      <c r="R20" s="580" t="s">
        <v>138</v>
      </c>
      <c r="S20" s="552" t="s">
        <v>139</v>
      </c>
      <c r="T20" s="553" t="str">
        <f>VLOOKUP(Y20,'[2]- DLiêu Gốc -'!$C$2:$H$60,5,0)</f>
        <v>A1</v>
      </c>
      <c r="U20" s="553" t="str">
        <f>VLOOKUP(Y20,'[2]- DLiêu Gốc -'!$C$2:$H$60,6,0)</f>
        <v>- - -</v>
      </c>
      <c r="V20" s="554" t="s">
        <v>73</v>
      </c>
      <c r="W20" s="555" t="str">
        <f t="shared" si="3"/>
        <v>Giảng viên (hạng III)</v>
      </c>
      <c r="X20" s="556" t="str">
        <f t="shared" si="4"/>
        <v>V.07.01.03</v>
      </c>
      <c r="Y20" s="557" t="s">
        <v>77</v>
      </c>
      <c r="Z20" s="556" t="str">
        <f>VLOOKUP(Y20,'[2]- DLiêu Gốc -'!$C$1:$H$132,2,0)</f>
        <v>V.07.01.03</v>
      </c>
      <c r="AA20" s="558" t="str">
        <f t="shared" si="5"/>
        <v>Lương</v>
      </c>
      <c r="AB20" s="559">
        <v>5</v>
      </c>
      <c r="AC20" s="470" t="str">
        <f t="shared" si="6"/>
        <v>/</v>
      </c>
      <c r="AD20" s="51">
        <f t="shared" si="7"/>
        <v>9</v>
      </c>
      <c r="AE20" s="560">
        <f t="shared" si="8"/>
        <v>3.66</v>
      </c>
      <c r="AF20" s="561"/>
      <c r="AG20" s="51"/>
      <c r="AH20" s="562" t="s">
        <v>43</v>
      </c>
      <c r="AI20" s="563" t="s">
        <v>53</v>
      </c>
      <c r="AJ20" s="564" t="s">
        <v>45</v>
      </c>
      <c r="AK20" s="838" t="s">
        <v>53</v>
      </c>
      <c r="AL20" s="565">
        <v>2015</v>
      </c>
      <c r="AM20" s="566"/>
      <c r="AN20" s="567"/>
      <c r="AO20" s="568">
        <f t="shared" si="9"/>
        <v>6</v>
      </c>
      <c r="AP20" s="569" t="str">
        <f t="shared" si="10"/>
        <v>/</v>
      </c>
      <c r="AQ20" s="570">
        <f t="shared" si="11"/>
        <v>9</v>
      </c>
      <c r="AR20" s="578">
        <f t="shared" si="12"/>
        <v>3.99</v>
      </c>
      <c r="AS20" s="51"/>
      <c r="AT20" s="571" t="s">
        <v>43</v>
      </c>
      <c r="AU20" s="572" t="s">
        <v>53</v>
      </c>
      <c r="AV20" s="573" t="s">
        <v>45</v>
      </c>
      <c r="AW20" s="574" t="s">
        <v>53</v>
      </c>
      <c r="AX20" s="575">
        <v>2018</v>
      </c>
      <c r="AY20" s="579"/>
      <c r="AZ20" s="125">
        <v>5</v>
      </c>
      <c r="BA20" s="107">
        <f t="shared" si="13"/>
        <v>3</v>
      </c>
      <c r="BB20" s="576">
        <f t="shared" si="14"/>
        <v>-24221</v>
      </c>
      <c r="BC20" s="104">
        <f>VLOOKUP(Y20,'[2]- DLiêu Gốc -'!$C$1:$F$60,3,0)</f>
        <v>2.34</v>
      </c>
      <c r="BD20" s="104">
        <f>VLOOKUP(Y20,'[2]- DLiêu Gốc -'!$C$1:$F$60,4,0)</f>
        <v>0.33</v>
      </c>
      <c r="BE20" s="109" t="str">
        <f t="shared" si="15"/>
        <v>PCTN</v>
      </c>
      <c r="BF20" s="110">
        <v>12</v>
      </c>
      <c r="BG20" s="212" t="s">
        <v>41</v>
      </c>
      <c r="BH20" s="112" t="s">
        <v>43</v>
      </c>
      <c r="BI20" s="410" t="s">
        <v>53</v>
      </c>
      <c r="BJ20" s="211">
        <v>5</v>
      </c>
      <c r="BK20" s="410" t="s">
        <v>53</v>
      </c>
      <c r="BL20" s="135">
        <v>2016</v>
      </c>
      <c r="BM20" s="108"/>
      <c r="BN20" s="147"/>
      <c r="BO20" s="111">
        <f>IF(BF20&gt;3,BF20+1,0)</f>
        <v>13</v>
      </c>
      <c r="BP20" s="548" t="s">
        <v>41</v>
      </c>
      <c r="BQ20" s="112" t="s">
        <v>43</v>
      </c>
      <c r="BR20" s="410" t="s">
        <v>53</v>
      </c>
      <c r="BS20" s="211">
        <v>5</v>
      </c>
      <c r="BT20" s="410" t="s">
        <v>53</v>
      </c>
      <c r="BU20" s="135">
        <v>2017</v>
      </c>
      <c r="BV20" s="137"/>
      <c r="BW20" s="116"/>
      <c r="BX20" s="577">
        <f t="shared" si="16"/>
        <v>-24209</v>
      </c>
      <c r="BY20" s="109" t="str">
        <f t="shared" si="17"/>
        <v>- - -</v>
      </c>
      <c r="BZ20" s="100" t="str">
        <f t="shared" si="18"/>
        <v>Chánh Văn phòng Học viện, Trưởng Ban Tổ chức - Cán bộ, Trưởng Khoa Khoa học hành chính và Tổ chức nhân sự</v>
      </c>
      <c r="CA20" s="113" t="str">
        <f t="shared" si="19"/>
        <v>A</v>
      </c>
      <c r="CB20" s="114" t="str">
        <f t="shared" si="20"/>
        <v>=&gt; s</v>
      </c>
      <c r="CC20" s="103">
        <f t="shared" si="21"/>
        <v>24245</v>
      </c>
      <c r="CD20" s="99" t="str">
        <f t="shared" si="22"/>
        <v>---</v>
      </c>
      <c r="CE20" s="99"/>
      <c r="CF20" s="164"/>
      <c r="CG20" s="99"/>
      <c r="CH20" s="115"/>
      <c r="CI20" s="99" t="str">
        <f t="shared" si="23"/>
        <v>- - -</v>
      </c>
      <c r="CJ20" s="116" t="str">
        <f t="shared" si="24"/>
        <v>- - -</v>
      </c>
      <c r="CK20" s="117"/>
      <c r="CL20" s="118"/>
      <c r="CM20" s="117"/>
      <c r="CN20" s="119"/>
      <c r="CO20" s="116" t="str">
        <f t="shared" si="25"/>
        <v>- - -</v>
      </c>
      <c r="CP20" s="117"/>
      <c r="CQ20" s="118"/>
      <c r="CR20" s="117"/>
      <c r="CS20" s="119"/>
      <c r="CT20" s="120" t="str">
        <f t="shared" si="26"/>
        <v>---</v>
      </c>
      <c r="CU20" s="148" t="str">
        <f t="shared" si="27"/>
        <v>/-/ /-/</v>
      </c>
      <c r="CV20" s="121">
        <f t="shared" si="28"/>
        <v>6</v>
      </c>
      <c r="CW20" s="122">
        <f t="shared" si="29"/>
        <v>2036</v>
      </c>
      <c r="CX20" s="121">
        <f t="shared" si="30"/>
        <v>3</v>
      </c>
      <c r="CY20" s="122">
        <f t="shared" si="31"/>
        <v>2036</v>
      </c>
      <c r="CZ20" s="121">
        <f t="shared" si="32"/>
        <v>12</v>
      </c>
      <c r="DA20" s="122">
        <f t="shared" si="33"/>
        <v>2035</v>
      </c>
      <c r="DB20" s="123" t="str">
        <f t="shared" si="34"/>
        <v>- - -</v>
      </c>
      <c r="DC20" s="124" t="str">
        <f t="shared" si="35"/>
        <v>. .</v>
      </c>
      <c r="DD20" s="124"/>
      <c r="DE20" s="103">
        <f t="shared" si="36"/>
        <v>720</v>
      </c>
      <c r="DF20" s="103">
        <f t="shared" si="37"/>
        <v>-23705</v>
      </c>
      <c r="DG20" s="103">
        <f t="shared" si="38"/>
        <v>-1976</v>
      </c>
      <c r="DH20" s="103" t="str">
        <f t="shared" si="39"/>
        <v>Nam dưới 35</v>
      </c>
      <c r="DI20" s="103"/>
      <c r="DJ20" s="103"/>
      <c r="DK20" s="109" t="str">
        <f t="shared" si="40"/>
        <v>Đến 30</v>
      </c>
      <c r="DL20" s="117" t="str">
        <f t="shared" si="41"/>
        <v>TD</v>
      </c>
      <c r="DM20" s="101">
        <v>2009</v>
      </c>
      <c r="DN20" s="99"/>
      <c r="DO20" s="136"/>
      <c r="DP20" s="101"/>
      <c r="DQ20" s="119"/>
      <c r="DR20" s="125"/>
      <c r="DS20" s="126"/>
      <c r="DT20" s="127"/>
      <c r="DU20" s="128"/>
      <c r="DV20" s="102" t="s">
        <v>138</v>
      </c>
      <c r="DW20" s="105" t="s">
        <v>183</v>
      </c>
      <c r="DX20" s="106" t="s">
        <v>140</v>
      </c>
      <c r="DY20" s="141" t="s">
        <v>43</v>
      </c>
      <c r="DZ20" s="106" t="s">
        <v>53</v>
      </c>
      <c r="EA20" s="129" t="s">
        <v>45</v>
      </c>
      <c r="EB20" s="106" t="s">
        <v>53</v>
      </c>
      <c r="EC20" s="130">
        <v>2012</v>
      </c>
      <c r="ED20" s="105">
        <f t="shared" si="42"/>
        <v>0</v>
      </c>
      <c r="EE20" s="106" t="str">
        <f t="shared" si="43"/>
        <v>- - -</v>
      </c>
      <c r="EF20" s="141" t="s">
        <v>43</v>
      </c>
      <c r="EG20" s="106" t="s">
        <v>53</v>
      </c>
      <c r="EH20" s="129" t="s">
        <v>45</v>
      </c>
      <c r="EI20" s="99" t="s">
        <v>53</v>
      </c>
      <c r="EJ20" s="116">
        <v>2012</v>
      </c>
      <c r="EK20" s="131"/>
      <c r="EL20" s="128" t="str">
        <f t="shared" si="44"/>
        <v>- - -</v>
      </c>
      <c r="EM20" s="132" t="str">
        <f t="shared" si="45"/>
        <v>---</v>
      </c>
      <c r="FP20" s="863"/>
      <c r="FQ20" s="863"/>
      <c r="FR20" s="863"/>
      <c r="FS20" s="863"/>
      <c r="FT20" s="863"/>
      <c r="FU20" s="863"/>
      <c r="FV20" s="863"/>
      <c r="FW20" s="863"/>
      <c r="FX20" s="863"/>
      <c r="FY20" s="863"/>
      <c r="FZ20" s="863"/>
      <c r="GA20" s="863"/>
      <c r="GB20" s="863"/>
      <c r="GC20" s="863"/>
      <c r="GD20" s="863"/>
      <c r="GE20" s="863"/>
      <c r="GF20" s="863"/>
      <c r="GG20" s="863"/>
      <c r="GH20" s="863"/>
      <c r="GI20" s="863"/>
      <c r="GJ20" s="863"/>
      <c r="GK20" s="863"/>
      <c r="GL20" s="863"/>
      <c r="GM20" s="863"/>
      <c r="GN20" s="863"/>
      <c r="GO20" s="863"/>
      <c r="GP20" s="863"/>
      <c r="GQ20" s="863"/>
      <c r="GR20" s="863"/>
      <c r="GS20" s="863"/>
      <c r="GT20" s="863"/>
    </row>
    <row r="21" spans="1:202" s="132" customFormat="1" ht="27" customHeight="1" x14ac:dyDescent="0.2">
      <c r="A21" s="547">
        <v>219</v>
      </c>
      <c r="B21" s="322">
        <v>5</v>
      </c>
      <c r="C21" s="99"/>
      <c r="D21" s="99" t="str">
        <f t="shared" si="0"/>
        <v>Bà</v>
      </c>
      <c r="E21" s="549" t="s">
        <v>184</v>
      </c>
      <c r="F21" s="550" t="s">
        <v>64</v>
      </c>
      <c r="G21" s="551" t="s">
        <v>40</v>
      </c>
      <c r="H21" s="551" t="s">
        <v>53</v>
      </c>
      <c r="I21" s="551">
        <v>3</v>
      </c>
      <c r="J21" s="98" t="s">
        <v>53</v>
      </c>
      <c r="K21" s="98">
        <v>1981</v>
      </c>
      <c r="L21" s="98" t="s">
        <v>83</v>
      </c>
      <c r="M21" s="98" t="str">
        <f t="shared" si="1"/>
        <v>VC</v>
      </c>
      <c r="N21" s="98"/>
      <c r="O21" s="98" t="e">
        <f t="shared" si="2"/>
        <v>#N/A</v>
      </c>
      <c r="P21" s="98"/>
      <c r="Q21" s="549" t="e">
        <f>VLOOKUP(P21,'[2]- DLiêu Gốc -'!$C$2:$H$114,2,0)</f>
        <v>#N/A</v>
      </c>
      <c r="R21" s="580" t="s">
        <v>185</v>
      </c>
      <c r="S21" s="552" t="s">
        <v>162</v>
      </c>
      <c r="T21" s="553" t="str">
        <f>VLOOKUP(Y21,'[2]- DLiêu Gốc -'!$C$2:$H$60,5,0)</f>
        <v>A1</v>
      </c>
      <c r="U21" s="553" t="str">
        <f>VLOOKUP(Y21,'[2]- DLiêu Gốc -'!$C$2:$H$60,6,0)</f>
        <v>- - -</v>
      </c>
      <c r="V21" s="554" t="s">
        <v>73</v>
      </c>
      <c r="W21" s="555" t="str">
        <f t="shared" si="3"/>
        <v>Giảng viên (hạng III)</v>
      </c>
      <c r="X21" s="556" t="str">
        <f t="shared" si="4"/>
        <v>V.07.01.03</v>
      </c>
      <c r="Y21" s="557" t="s">
        <v>77</v>
      </c>
      <c r="Z21" s="556" t="str">
        <f>VLOOKUP(Y21,'[2]- DLiêu Gốc -'!$C$1:$H$132,2,0)</f>
        <v>V.07.01.03</v>
      </c>
      <c r="AA21" s="558" t="str">
        <f t="shared" si="5"/>
        <v>Lương</v>
      </c>
      <c r="AB21" s="559">
        <v>5</v>
      </c>
      <c r="AC21" s="470" t="str">
        <f t="shared" si="6"/>
        <v>/</v>
      </c>
      <c r="AD21" s="51">
        <f t="shared" si="7"/>
        <v>9</v>
      </c>
      <c r="AE21" s="560">
        <f t="shared" si="8"/>
        <v>3.66</v>
      </c>
      <c r="AF21" s="561"/>
      <c r="AG21" s="51"/>
      <c r="AH21" s="562" t="s">
        <v>43</v>
      </c>
      <c r="AI21" s="563" t="s">
        <v>53</v>
      </c>
      <c r="AJ21" s="564" t="s">
        <v>45</v>
      </c>
      <c r="AK21" s="838" t="s">
        <v>53</v>
      </c>
      <c r="AL21" s="565">
        <v>2015</v>
      </c>
      <c r="AM21" s="566"/>
      <c r="AN21" s="567"/>
      <c r="AO21" s="568">
        <f t="shared" si="9"/>
        <v>6</v>
      </c>
      <c r="AP21" s="569" t="str">
        <f t="shared" si="10"/>
        <v>/</v>
      </c>
      <c r="AQ21" s="570">
        <f t="shared" si="11"/>
        <v>9</v>
      </c>
      <c r="AR21" s="578">
        <f t="shared" si="12"/>
        <v>3.99</v>
      </c>
      <c r="AS21" s="51"/>
      <c r="AT21" s="571" t="s">
        <v>43</v>
      </c>
      <c r="AU21" s="572" t="s">
        <v>53</v>
      </c>
      <c r="AV21" s="573" t="s">
        <v>45</v>
      </c>
      <c r="AW21" s="574" t="s">
        <v>53</v>
      </c>
      <c r="AX21" s="575">
        <v>2018</v>
      </c>
      <c r="AY21" s="839" t="s">
        <v>186</v>
      </c>
      <c r="AZ21" s="125">
        <v>5</v>
      </c>
      <c r="BA21" s="107">
        <f t="shared" si="13"/>
        <v>3</v>
      </c>
      <c r="BB21" s="576">
        <f t="shared" si="14"/>
        <v>-24221</v>
      </c>
      <c r="BC21" s="104">
        <f>VLOOKUP(Y21,'[2]- DLiêu Gốc -'!$C$1:$F$60,3,0)</f>
        <v>2.34</v>
      </c>
      <c r="BD21" s="104">
        <f>VLOOKUP(Y21,'[2]- DLiêu Gốc -'!$C$1:$F$60,4,0)</f>
        <v>0.33</v>
      </c>
      <c r="BE21" s="109" t="str">
        <f t="shared" si="15"/>
        <v>PCTN</v>
      </c>
      <c r="BF21" s="110">
        <v>7</v>
      </c>
      <c r="BG21" s="212" t="s">
        <v>41</v>
      </c>
      <c r="BH21" s="112" t="s">
        <v>43</v>
      </c>
      <c r="BI21" s="410" t="s">
        <v>53</v>
      </c>
      <c r="BJ21" s="211" t="s">
        <v>50</v>
      </c>
      <c r="BK21" s="410" t="s">
        <v>53</v>
      </c>
      <c r="BL21" s="135">
        <v>2016</v>
      </c>
      <c r="BM21" s="108"/>
      <c r="BN21" s="147"/>
      <c r="BO21" s="111">
        <f>IF(BF21&gt;3,BF21+1,0)</f>
        <v>8</v>
      </c>
      <c r="BP21" s="548" t="s">
        <v>41</v>
      </c>
      <c r="BQ21" s="112" t="s">
        <v>43</v>
      </c>
      <c r="BR21" s="410"/>
      <c r="BS21" s="211" t="s">
        <v>50</v>
      </c>
      <c r="BT21" s="410"/>
      <c r="BU21" s="135">
        <v>2017</v>
      </c>
      <c r="BV21" s="137"/>
      <c r="BW21" s="116"/>
      <c r="BX21" s="577">
        <f t="shared" si="16"/>
        <v>-24213</v>
      </c>
      <c r="BY21" s="109" t="str">
        <f t="shared" si="17"/>
        <v>- - -</v>
      </c>
      <c r="BZ21" s="100" t="str">
        <f t="shared" si="18"/>
        <v>Chánh Văn phòng Học viện, Trưởng Ban Tổ chức - Cán bộ, Trưởng Khoa Nhà nước - Pháp luật và Lý luận cơ sở</v>
      </c>
      <c r="CA21" s="113" t="str">
        <f t="shared" si="19"/>
        <v>A</v>
      </c>
      <c r="CB21" s="114" t="str">
        <f t="shared" si="20"/>
        <v>=&gt; s</v>
      </c>
      <c r="CC21" s="103">
        <f t="shared" si="21"/>
        <v>24245</v>
      </c>
      <c r="CD21" s="99" t="str">
        <f t="shared" si="22"/>
        <v>S</v>
      </c>
      <c r="CE21" s="99">
        <v>2012</v>
      </c>
      <c r="CF21" s="164" t="s">
        <v>12</v>
      </c>
      <c r="CG21" s="99"/>
      <c r="CH21" s="115"/>
      <c r="CI21" s="99" t="str">
        <f t="shared" si="23"/>
        <v>- - -</v>
      </c>
      <c r="CJ21" s="116" t="str">
        <f t="shared" si="24"/>
        <v>- - -</v>
      </c>
      <c r="CK21" s="117"/>
      <c r="CL21" s="118"/>
      <c r="CM21" s="117"/>
      <c r="CN21" s="119"/>
      <c r="CO21" s="116" t="str">
        <f t="shared" si="25"/>
        <v>CN</v>
      </c>
      <c r="CP21" s="117">
        <v>6</v>
      </c>
      <c r="CQ21" s="118">
        <v>2013</v>
      </c>
      <c r="CR21" s="117"/>
      <c r="CS21" s="119"/>
      <c r="CT21" s="120" t="str">
        <f t="shared" si="26"/>
        <v>---</v>
      </c>
      <c r="CU21" s="148" t="str">
        <f t="shared" si="27"/>
        <v>/-/ /-/</v>
      </c>
      <c r="CV21" s="121">
        <f t="shared" si="28"/>
        <v>4</v>
      </c>
      <c r="CW21" s="122">
        <f t="shared" si="29"/>
        <v>2036</v>
      </c>
      <c r="CX21" s="121">
        <f t="shared" si="30"/>
        <v>1</v>
      </c>
      <c r="CY21" s="122">
        <f t="shared" si="31"/>
        <v>2036</v>
      </c>
      <c r="CZ21" s="121">
        <f t="shared" si="32"/>
        <v>10</v>
      </c>
      <c r="DA21" s="122">
        <f t="shared" si="33"/>
        <v>2035</v>
      </c>
      <c r="DB21" s="123" t="str">
        <f t="shared" si="34"/>
        <v>- - -</v>
      </c>
      <c r="DC21" s="124" t="str">
        <f t="shared" si="35"/>
        <v>. .</v>
      </c>
      <c r="DD21" s="124"/>
      <c r="DE21" s="103">
        <f t="shared" si="36"/>
        <v>660</v>
      </c>
      <c r="DF21" s="103">
        <f t="shared" si="37"/>
        <v>-23763</v>
      </c>
      <c r="DG21" s="103">
        <f t="shared" si="38"/>
        <v>-1981</v>
      </c>
      <c r="DH21" s="103" t="str">
        <f t="shared" si="39"/>
        <v>Nữ dưới 30</v>
      </c>
      <c r="DI21" s="103"/>
      <c r="DJ21" s="103"/>
      <c r="DK21" s="109" t="str">
        <f t="shared" si="40"/>
        <v>Đến 30</v>
      </c>
      <c r="DL21" s="117" t="str">
        <f t="shared" si="41"/>
        <v>--</v>
      </c>
      <c r="DM21" s="101"/>
      <c r="DN21" s="99" t="s">
        <v>169</v>
      </c>
      <c r="DO21" s="136">
        <v>6</v>
      </c>
      <c r="DP21" s="101">
        <v>2013</v>
      </c>
      <c r="DQ21" s="119"/>
      <c r="DR21" s="125"/>
      <c r="DS21" s="126"/>
      <c r="DT21" s="127"/>
      <c r="DU21" s="128"/>
      <c r="DV21" s="102" t="s">
        <v>185</v>
      </c>
      <c r="DW21" s="105" t="s">
        <v>187</v>
      </c>
      <c r="DX21" s="106" t="s">
        <v>188</v>
      </c>
      <c r="DY21" s="141" t="s">
        <v>43</v>
      </c>
      <c r="DZ21" s="106" t="s">
        <v>53</v>
      </c>
      <c r="EA21" s="129" t="s">
        <v>45</v>
      </c>
      <c r="EB21" s="106" t="s">
        <v>53</v>
      </c>
      <c r="EC21" s="130">
        <v>2012</v>
      </c>
      <c r="ED21" s="105">
        <f t="shared" si="42"/>
        <v>0</v>
      </c>
      <c r="EE21" s="106" t="str">
        <f t="shared" si="43"/>
        <v>- - -</v>
      </c>
      <c r="EF21" s="141" t="s">
        <v>43</v>
      </c>
      <c r="EG21" s="106" t="s">
        <v>53</v>
      </c>
      <c r="EH21" s="129" t="s">
        <v>45</v>
      </c>
      <c r="EI21" s="99" t="s">
        <v>53</v>
      </c>
      <c r="EJ21" s="116">
        <v>2012</v>
      </c>
      <c r="EK21" s="131"/>
      <c r="EL21" s="128" t="str">
        <f t="shared" si="44"/>
        <v>- - -</v>
      </c>
      <c r="EM21" s="132" t="str">
        <f t="shared" si="45"/>
        <v>---</v>
      </c>
      <c r="FP21" s="863"/>
      <c r="FQ21" s="863"/>
      <c r="FR21" s="863"/>
      <c r="FS21" s="863"/>
      <c r="FT21" s="863"/>
      <c r="FU21" s="863"/>
      <c r="FV21" s="863"/>
      <c r="FW21" s="863"/>
      <c r="FX21" s="863"/>
      <c r="FY21" s="863"/>
      <c r="FZ21" s="863"/>
      <c r="GA21" s="863"/>
      <c r="GB21" s="863"/>
      <c r="GC21" s="863"/>
      <c r="GD21" s="863"/>
      <c r="GE21" s="863"/>
      <c r="GF21" s="863"/>
      <c r="GG21" s="863"/>
      <c r="GH21" s="863"/>
      <c r="GI21" s="863"/>
      <c r="GJ21" s="863"/>
      <c r="GK21" s="863"/>
      <c r="GL21" s="863"/>
      <c r="GM21" s="863"/>
      <c r="GN21" s="863"/>
      <c r="GO21" s="863"/>
      <c r="GP21" s="863"/>
      <c r="GQ21" s="863"/>
      <c r="GR21" s="863"/>
      <c r="GS21" s="863"/>
      <c r="GT21" s="863"/>
    </row>
    <row r="22" spans="1:202" s="132" customFormat="1" ht="27" customHeight="1" x14ac:dyDescent="0.2">
      <c r="A22" s="547">
        <v>260</v>
      </c>
      <c r="B22" s="322">
        <v>6</v>
      </c>
      <c r="C22" s="99"/>
      <c r="D22" s="99" t="str">
        <f t="shared" si="0"/>
        <v>Bà</v>
      </c>
      <c r="E22" s="549" t="s">
        <v>189</v>
      </c>
      <c r="F22" s="550" t="s">
        <v>64</v>
      </c>
      <c r="G22" s="551" t="s">
        <v>190</v>
      </c>
      <c r="H22" s="551" t="s">
        <v>53</v>
      </c>
      <c r="I22" s="551" t="s">
        <v>44</v>
      </c>
      <c r="J22" s="98" t="s">
        <v>53</v>
      </c>
      <c r="K22" s="98">
        <v>1978</v>
      </c>
      <c r="L22" s="98" t="s">
        <v>83</v>
      </c>
      <c r="M22" s="98" t="str">
        <f t="shared" si="1"/>
        <v>VC</v>
      </c>
      <c r="N22" s="98"/>
      <c r="O22" s="98" t="e">
        <f t="shared" si="2"/>
        <v>#N/A</v>
      </c>
      <c r="P22" s="98"/>
      <c r="Q22" s="549" t="e">
        <f>VLOOKUP(P22,'[2]- DLiêu Gốc -'!$C$2:$H$114,2,0)</f>
        <v>#N/A</v>
      </c>
      <c r="R22" s="580" t="s">
        <v>191</v>
      </c>
      <c r="S22" s="552" t="s">
        <v>164</v>
      </c>
      <c r="T22" s="553" t="str">
        <f>VLOOKUP(Y22,'[2]- DLiêu Gốc -'!$C$2:$H$60,5,0)</f>
        <v>A1</v>
      </c>
      <c r="U22" s="553" t="str">
        <f>VLOOKUP(Y22,'[2]- DLiêu Gốc -'!$C$2:$H$60,6,0)</f>
        <v>- - -</v>
      </c>
      <c r="V22" s="554" t="s">
        <v>73</v>
      </c>
      <c r="W22" s="555" t="str">
        <f t="shared" si="3"/>
        <v>Giảng viên (hạng III)</v>
      </c>
      <c r="X22" s="556" t="str">
        <f t="shared" si="4"/>
        <v>V.07.01.03</v>
      </c>
      <c r="Y22" s="557" t="s">
        <v>77</v>
      </c>
      <c r="Z22" s="556" t="str">
        <f>VLOOKUP(Y22,'[2]- DLiêu Gốc -'!$C$1:$H$132,2,0)</f>
        <v>V.07.01.03</v>
      </c>
      <c r="AA22" s="558" t="str">
        <f t="shared" si="5"/>
        <v>Lương</v>
      </c>
      <c r="AB22" s="559">
        <v>5</v>
      </c>
      <c r="AC22" s="470" t="str">
        <f t="shared" si="6"/>
        <v>/</v>
      </c>
      <c r="AD22" s="51">
        <f t="shared" si="7"/>
        <v>9</v>
      </c>
      <c r="AE22" s="560">
        <f t="shared" si="8"/>
        <v>3.66</v>
      </c>
      <c r="AF22" s="561"/>
      <c r="AG22" s="51"/>
      <c r="AH22" s="562" t="s">
        <v>43</v>
      </c>
      <c r="AI22" s="563" t="s">
        <v>53</v>
      </c>
      <c r="AJ22" s="564" t="s">
        <v>45</v>
      </c>
      <c r="AK22" s="838" t="s">
        <v>53</v>
      </c>
      <c r="AL22" s="565">
        <v>2015</v>
      </c>
      <c r="AM22" s="566"/>
      <c r="AN22" s="567"/>
      <c r="AO22" s="568">
        <f t="shared" si="9"/>
        <v>6</v>
      </c>
      <c r="AP22" s="569" t="str">
        <f t="shared" si="10"/>
        <v>/</v>
      </c>
      <c r="AQ22" s="570">
        <f t="shared" si="11"/>
        <v>9</v>
      </c>
      <c r="AR22" s="578">
        <f t="shared" si="12"/>
        <v>3.99</v>
      </c>
      <c r="AS22" s="51"/>
      <c r="AT22" s="571" t="s">
        <v>43</v>
      </c>
      <c r="AU22" s="572" t="s">
        <v>53</v>
      </c>
      <c r="AV22" s="573" t="s">
        <v>45</v>
      </c>
      <c r="AW22" s="574" t="s">
        <v>53</v>
      </c>
      <c r="AX22" s="575">
        <v>2018</v>
      </c>
      <c r="AY22" s="579"/>
      <c r="AZ22" s="125">
        <v>5</v>
      </c>
      <c r="BA22" s="107">
        <f t="shared" si="13"/>
        <v>3</v>
      </c>
      <c r="BB22" s="576">
        <f t="shared" si="14"/>
        <v>-24221</v>
      </c>
      <c r="BC22" s="104">
        <f>VLOOKUP(Y22,'[2]- DLiêu Gốc -'!$C$1:$F$60,3,0)</f>
        <v>2.34</v>
      </c>
      <c r="BD22" s="104">
        <f>VLOOKUP(Y22,'[2]- DLiêu Gốc -'!$C$1:$F$60,4,0)</f>
        <v>0.33</v>
      </c>
      <c r="BE22" s="109" t="str">
        <f t="shared" si="15"/>
        <v>PCTN</v>
      </c>
      <c r="BF22" s="110">
        <v>12</v>
      </c>
      <c r="BG22" s="212" t="s">
        <v>41</v>
      </c>
      <c r="BH22" s="112" t="s">
        <v>43</v>
      </c>
      <c r="BI22" s="410" t="s">
        <v>53</v>
      </c>
      <c r="BJ22" s="211">
        <v>5</v>
      </c>
      <c r="BK22" s="410" t="s">
        <v>53</v>
      </c>
      <c r="BL22" s="135">
        <v>2016</v>
      </c>
      <c r="BM22" s="108"/>
      <c r="BN22" s="147"/>
      <c r="BO22" s="111">
        <f>IF(BF22&gt;3,BF22+1,0)</f>
        <v>13</v>
      </c>
      <c r="BP22" s="548" t="s">
        <v>41</v>
      </c>
      <c r="BQ22" s="112" t="s">
        <v>43</v>
      </c>
      <c r="BR22" s="410" t="s">
        <v>53</v>
      </c>
      <c r="BS22" s="211">
        <v>5</v>
      </c>
      <c r="BT22" s="410" t="s">
        <v>53</v>
      </c>
      <c r="BU22" s="135">
        <v>2017</v>
      </c>
      <c r="BV22" s="137"/>
      <c r="BW22" s="116"/>
      <c r="BX22" s="577">
        <f t="shared" si="16"/>
        <v>-24209</v>
      </c>
      <c r="BY22" s="109" t="str">
        <f t="shared" si="17"/>
        <v>- - -</v>
      </c>
      <c r="BZ22" s="100" t="str">
        <f t="shared" si="18"/>
        <v>Chánh Văn phòng Học viện, Trưởng Ban Tổ chức - Cán bộ, Trưởng Khoa Quản lý nhà nước về Kinh tế và Tài chính công</v>
      </c>
      <c r="CA22" s="113" t="str">
        <f t="shared" si="19"/>
        <v>A</v>
      </c>
      <c r="CB22" s="114" t="str">
        <f t="shared" si="20"/>
        <v>=&gt; s</v>
      </c>
      <c r="CC22" s="103">
        <f t="shared" si="21"/>
        <v>24245</v>
      </c>
      <c r="CD22" s="99" t="str">
        <f t="shared" si="22"/>
        <v>S</v>
      </c>
      <c r="CE22" s="99">
        <v>2012</v>
      </c>
      <c r="CF22" s="164" t="s">
        <v>75</v>
      </c>
      <c r="CG22" s="99"/>
      <c r="CH22" s="115"/>
      <c r="CI22" s="99" t="str">
        <f t="shared" si="23"/>
        <v>Cùg Ng</v>
      </c>
      <c r="CJ22" s="116" t="str">
        <f t="shared" si="24"/>
        <v>- - -</v>
      </c>
      <c r="CK22" s="117"/>
      <c r="CL22" s="118"/>
      <c r="CM22" s="117"/>
      <c r="CN22" s="119"/>
      <c r="CO22" s="116" t="str">
        <f t="shared" si="25"/>
        <v>- - -</v>
      </c>
      <c r="CP22" s="117"/>
      <c r="CQ22" s="118"/>
      <c r="CR22" s="117"/>
      <c r="CS22" s="119"/>
      <c r="CT22" s="120" t="str">
        <f t="shared" si="26"/>
        <v>---</v>
      </c>
      <c r="CU22" s="148" t="str">
        <f t="shared" si="27"/>
        <v>/-/ /-/</v>
      </c>
      <c r="CV22" s="121">
        <f t="shared" si="28"/>
        <v>3</v>
      </c>
      <c r="CW22" s="122">
        <f t="shared" si="29"/>
        <v>2033</v>
      </c>
      <c r="CX22" s="121">
        <f t="shared" si="30"/>
        <v>12</v>
      </c>
      <c r="CY22" s="122">
        <f t="shared" si="31"/>
        <v>2032</v>
      </c>
      <c r="CZ22" s="121">
        <f t="shared" si="32"/>
        <v>9</v>
      </c>
      <c r="DA22" s="122">
        <f t="shared" si="33"/>
        <v>2032</v>
      </c>
      <c r="DB22" s="123" t="str">
        <f t="shared" si="34"/>
        <v>- - -</v>
      </c>
      <c r="DC22" s="124" t="str">
        <f t="shared" si="35"/>
        <v>. .</v>
      </c>
      <c r="DD22" s="124"/>
      <c r="DE22" s="103">
        <f t="shared" si="36"/>
        <v>660</v>
      </c>
      <c r="DF22" s="103">
        <f t="shared" si="37"/>
        <v>-23726</v>
      </c>
      <c r="DG22" s="103">
        <f t="shared" si="38"/>
        <v>-1978</v>
      </c>
      <c r="DH22" s="103" t="str">
        <f t="shared" si="39"/>
        <v>Nữ dưới 30</v>
      </c>
      <c r="DI22" s="103"/>
      <c r="DJ22" s="103"/>
      <c r="DK22" s="109" t="str">
        <f t="shared" si="40"/>
        <v>Đến 30</v>
      </c>
      <c r="DL22" s="117" t="str">
        <f t="shared" si="41"/>
        <v>--</v>
      </c>
      <c r="DM22" s="101"/>
      <c r="DN22" s="99"/>
      <c r="DO22" s="136"/>
      <c r="DP22" s="101"/>
      <c r="DQ22" s="119"/>
      <c r="DR22" s="125"/>
      <c r="DS22" s="126"/>
      <c r="DT22" s="127"/>
      <c r="DU22" s="128"/>
      <c r="DV22" s="102" t="s">
        <v>191</v>
      </c>
      <c r="DW22" s="105" t="s">
        <v>192</v>
      </c>
      <c r="DX22" s="106" t="s">
        <v>191</v>
      </c>
      <c r="DY22" s="141" t="s">
        <v>43</v>
      </c>
      <c r="DZ22" s="106" t="s">
        <v>53</v>
      </c>
      <c r="EA22" s="129" t="s">
        <v>45</v>
      </c>
      <c r="EB22" s="106" t="s">
        <v>53</v>
      </c>
      <c r="EC22" s="130">
        <v>2012</v>
      </c>
      <c r="ED22" s="105">
        <f t="shared" si="42"/>
        <v>0</v>
      </c>
      <c r="EE22" s="106" t="str">
        <f t="shared" si="43"/>
        <v>- - -</v>
      </c>
      <c r="EF22" s="141" t="s">
        <v>43</v>
      </c>
      <c r="EG22" s="106" t="s">
        <v>53</v>
      </c>
      <c r="EH22" s="129" t="s">
        <v>45</v>
      </c>
      <c r="EI22" s="99" t="s">
        <v>53</v>
      </c>
      <c r="EJ22" s="116">
        <v>2012</v>
      </c>
      <c r="EK22" s="131"/>
      <c r="EL22" s="128" t="str">
        <f t="shared" si="44"/>
        <v>- - -</v>
      </c>
      <c r="EM22" s="132" t="str">
        <f t="shared" si="45"/>
        <v>---</v>
      </c>
      <c r="FP22" s="863"/>
      <c r="FQ22" s="863"/>
      <c r="FR22" s="863"/>
      <c r="FS22" s="863"/>
      <c r="FT22" s="863"/>
      <c r="FU22" s="863"/>
      <c r="FV22" s="863"/>
      <c r="FW22" s="863"/>
      <c r="FX22" s="863"/>
      <c r="FY22" s="863"/>
      <c r="FZ22" s="863"/>
      <c r="GA22" s="863"/>
      <c r="GB22" s="863"/>
      <c r="GC22" s="863"/>
      <c r="GD22" s="863"/>
      <c r="GE22" s="863"/>
      <c r="GF22" s="863"/>
      <c r="GG22" s="863"/>
      <c r="GH22" s="863"/>
      <c r="GI22" s="863"/>
      <c r="GJ22" s="863"/>
      <c r="GK22" s="863"/>
      <c r="GL22" s="863"/>
      <c r="GM22" s="863"/>
      <c r="GN22" s="863"/>
      <c r="GO22" s="863"/>
      <c r="GP22" s="863"/>
      <c r="GQ22" s="863"/>
      <c r="GR22" s="863"/>
      <c r="GS22" s="863"/>
      <c r="GT22" s="863"/>
    </row>
    <row r="23" spans="1:202" s="132" customFormat="1" ht="27" customHeight="1" x14ac:dyDescent="0.2">
      <c r="A23" s="547">
        <v>310</v>
      </c>
      <c r="B23" s="322">
        <v>7</v>
      </c>
      <c r="C23" s="99"/>
      <c r="D23" s="99" t="str">
        <f t="shared" si="0"/>
        <v>Ông</v>
      </c>
      <c r="E23" s="549" t="s">
        <v>193</v>
      </c>
      <c r="F23" s="550" t="s">
        <v>63</v>
      </c>
      <c r="G23" s="551" t="s">
        <v>148</v>
      </c>
      <c r="H23" s="551" t="s">
        <v>53</v>
      </c>
      <c r="I23" s="551" t="s">
        <v>58</v>
      </c>
      <c r="J23" s="98" t="s">
        <v>53</v>
      </c>
      <c r="K23" s="98">
        <v>1975</v>
      </c>
      <c r="L23" s="98" t="s">
        <v>83</v>
      </c>
      <c r="M23" s="98" t="str">
        <f t="shared" si="1"/>
        <v>VC</v>
      </c>
      <c r="N23" s="98"/>
      <c r="O23" s="98" t="e">
        <f t="shared" si="2"/>
        <v>#N/A</v>
      </c>
      <c r="P23" s="98"/>
      <c r="Q23" s="549" t="e">
        <f>VLOOKUP(P23,'[2]- DLiêu Gốc -'!$C$2:$H$114,2,0)</f>
        <v>#N/A</v>
      </c>
      <c r="R23" s="580" t="s">
        <v>194</v>
      </c>
      <c r="S23" s="552" t="s">
        <v>143</v>
      </c>
      <c r="T23" s="553" t="str">
        <f>VLOOKUP(Y23,'[2]- DLiêu Gốc -'!$C$2:$H$60,5,0)</f>
        <v>A1</v>
      </c>
      <c r="U23" s="553" t="str">
        <f>VLOOKUP(Y23,'[2]- DLiêu Gốc -'!$C$2:$H$60,6,0)</f>
        <v>- - -</v>
      </c>
      <c r="V23" s="554" t="s">
        <v>73</v>
      </c>
      <c r="W23" s="555" t="str">
        <f t="shared" si="3"/>
        <v>Giảng viên (hạng III)</v>
      </c>
      <c r="X23" s="556" t="str">
        <f t="shared" si="4"/>
        <v>V.07.01.03</v>
      </c>
      <c r="Y23" s="557" t="s">
        <v>77</v>
      </c>
      <c r="Z23" s="556" t="str">
        <f>VLOOKUP(Y23,'[2]- DLiêu Gốc -'!$C$1:$H$132,2,0)</f>
        <v>V.07.01.03</v>
      </c>
      <c r="AA23" s="558" t="str">
        <f t="shared" si="5"/>
        <v>Lương</v>
      </c>
      <c r="AB23" s="559">
        <v>5</v>
      </c>
      <c r="AC23" s="470" t="str">
        <f t="shared" si="6"/>
        <v>/</v>
      </c>
      <c r="AD23" s="51">
        <f t="shared" si="7"/>
        <v>9</v>
      </c>
      <c r="AE23" s="560">
        <f t="shared" si="8"/>
        <v>3.66</v>
      </c>
      <c r="AF23" s="561"/>
      <c r="AG23" s="51"/>
      <c r="AH23" s="562" t="s">
        <v>43</v>
      </c>
      <c r="AI23" s="563" t="s">
        <v>53</v>
      </c>
      <c r="AJ23" s="564" t="s">
        <v>45</v>
      </c>
      <c r="AK23" s="838" t="s">
        <v>53</v>
      </c>
      <c r="AL23" s="565">
        <v>2015</v>
      </c>
      <c r="AM23" s="566"/>
      <c r="AN23" s="567"/>
      <c r="AO23" s="568">
        <f t="shared" si="9"/>
        <v>6</v>
      </c>
      <c r="AP23" s="569" t="str">
        <f t="shared" si="10"/>
        <v>/</v>
      </c>
      <c r="AQ23" s="570">
        <f t="shared" si="11"/>
        <v>9</v>
      </c>
      <c r="AR23" s="578">
        <f t="shared" si="12"/>
        <v>3.99</v>
      </c>
      <c r="AS23" s="51"/>
      <c r="AT23" s="571" t="s">
        <v>43</v>
      </c>
      <c r="AU23" s="572" t="s">
        <v>53</v>
      </c>
      <c r="AV23" s="573" t="s">
        <v>45</v>
      </c>
      <c r="AW23" s="574" t="s">
        <v>53</v>
      </c>
      <c r="AX23" s="575">
        <v>2018</v>
      </c>
      <c r="AY23" s="579"/>
      <c r="AZ23" s="125">
        <v>5</v>
      </c>
      <c r="BA23" s="107">
        <f t="shared" si="13"/>
        <v>3</v>
      </c>
      <c r="BB23" s="576">
        <f t="shared" si="14"/>
        <v>-24221</v>
      </c>
      <c r="BC23" s="104">
        <f>VLOOKUP(Y23,'[2]- DLiêu Gốc -'!$C$1:$F$60,3,0)</f>
        <v>2.34</v>
      </c>
      <c r="BD23" s="104">
        <f>VLOOKUP(Y23,'[2]- DLiêu Gốc -'!$C$1:$F$60,4,0)</f>
        <v>0.33</v>
      </c>
      <c r="BE23" s="109" t="str">
        <f t="shared" si="15"/>
        <v>PCTN</v>
      </c>
      <c r="BF23" s="110">
        <v>12</v>
      </c>
      <c r="BG23" s="212" t="s">
        <v>41</v>
      </c>
      <c r="BH23" s="112" t="s">
        <v>43</v>
      </c>
      <c r="BI23" s="410" t="s">
        <v>53</v>
      </c>
      <c r="BJ23" s="211" t="s">
        <v>43</v>
      </c>
      <c r="BK23" s="410" t="s">
        <v>53</v>
      </c>
      <c r="BL23" s="135">
        <v>2017</v>
      </c>
      <c r="BM23" s="108"/>
      <c r="BN23" s="147"/>
      <c r="BO23" s="111">
        <f>IF(BF23&gt;3,BF23+1,0)</f>
        <v>13</v>
      </c>
      <c r="BP23" s="548" t="s">
        <v>41</v>
      </c>
      <c r="BQ23" s="112" t="s">
        <v>43</v>
      </c>
      <c r="BR23" s="410" t="s">
        <v>53</v>
      </c>
      <c r="BS23" s="211" t="s">
        <v>43</v>
      </c>
      <c r="BT23" s="410" t="s">
        <v>53</v>
      </c>
      <c r="BU23" s="135">
        <v>2018</v>
      </c>
      <c r="BV23" s="137"/>
      <c r="BW23" s="116">
        <v>1</v>
      </c>
      <c r="BX23" s="577">
        <f t="shared" si="16"/>
        <v>-24217</v>
      </c>
      <c r="BY23" s="109" t="str">
        <f t="shared" si="17"/>
        <v>- - -</v>
      </c>
      <c r="BZ23" s="100" t="str">
        <f t="shared" si="18"/>
        <v>Chánh Văn phòng Học viện, Trưởng Ban Tổ chức - Cán bộ, Trưởng Khoa Quản lý nhà nước về Xã hội</v>
      </c>
      <c r="CA23" s="113" t="str">
        <f t="shared" si="19"/>
        <v>A</v>
      </c>
      <c r="CB23" s="114" t="str">
        <f t="shared" si="20"/>
        <v>=&gt; s</v>
      </c>
      <c r="CC23" s="103">
        <f t="shared" si="21"/>
        <v>24245</v>
      </c>
      <c r="CD23" s="99" t="str">
        <f t="shared" si="22"/>
        <v>---</v>
      </c>
      <c r="CE23" s="99"/>
      <c r="CF23" s="164"/>
      <c r="CG23" s="99"/>
      <c r="CH23" s="115"/>
      <c r="CI23" s="99" t="str">
        <f t="shared" si="23"/>
        <v>- - -</v>
      </c>
      <c r="CJ23" s="116" t="str">
        <f t="shared" si="24"/>
        <v>- - -</v>
      </c>
      <c r="CK23" s="117"/>
      <c r="CL23" s="118"/>
      <c r="CM23" s="117"/>
      <c r="CN23" s="119"/>
      <c r="CO23" s="116" t="str">
        <f t="shared" si="25"/>
        <v>- - -</v>
      </c>
      <c r="CP23" s="117"/>
      <c r="CQ23" s="118"/>
      <c r="CR23" s="117"/>
      <c r="CS23" s="119"/>
      <c r="CT23" s="120" t="str">
        <f t="shared" si="26"/>
        <v>---</v>
      </c>
      <c r="CU23" s="148" t="str">
        <f t="shared" si="27"/>
        <v>/-/ /-/</v>
      </c>
      <c r="CV23" s="121">
        <f t="shared" si="28"/>
        <v>12</v>
      </c>
      <c r="CW23" s="122">
        <f t="shared" si="29"/>
        <v>2035</v>
      </c>
      <c r="CX23" s="121">
        <f t="shared" si="30"/>
        <v>9</v>
      </c>
      <c r="CY23" s="122">
        <f t="shared" si="31"/>
        <v>2035</v>
      </c>
      <c r="CZ23" s="121">
        <f t="shared" si="32"/>
        <v>6</v>
      </c>
      <c r="DA23" s="122">
        <f t="shared" si="33"/>
        <v>2035</v>
      </c>
      <c r="DB23" s="123" t="str">
        <f t="shared" si="34"/>
        <v>- - -</v>
      </c>
      <c r="DC23" s="124" t="str">
        <f t="shared" si="35"/>
        <v>. .</v>
      </c>
      <c r="DD23" s="124"/>
      <c r="DE23" s="103">
        <f t="shared" si="36"/>
        <v>720</v>
      </c>
      <c r="DF23" s="103">
        <f t="shared" si="37"/>
        <v>-23699</v>
      </c>
      <c r="DG23" s="103">
        <f t="shared" si="38"/>
        <v>-1975</v>
      </c>
      <c r="DH23" s="103" t="str">
        <f t="shared" si="39"/>
        <v>Nam dưới 35</v>
      </c>
      <c r="DI23" s="103"/>
      <c r="DJ23" s="103"/>
      <c r="DK23" s="109" t="str">
        <f t="shared" si="40"/>
        <v>Đến 30</v>
      </c>
      <c r="DL23" s="117" t="str">
        <f t="shared" si="41"/>
        <v>TD</v>
      </c>
      <c r="DM23" s="101">
        <v>2012</v>
      </c>
      <c r="DN23" s="99"/>
      <c r="DO23" s="136"/>
      <c r="DP23" s="101"/>
      <c r="DQ23" s="119"/>
      <c r="DR23" s="125"/>
      <c r="DS23" s="126"/>
      <c r="DT23" s="127"/>
      <c r="DU23" s="128"/>
      <c r="DV23" s="102" t="s">
        <v>194</v>
      </c>
      <c r="DW23" s="105" t="s">
        <v>195</v>
      </c>
      <c r="DX23" s="106"/>
      <c r="DY23" s="141" t="s">
        <v>43</v>
      </c>
      <c r="DZ23" s="106" t="s">
        <v>53</v>
      </c>
      <c r="EA23" s="129" t="s">
        <v>45</v>
      </c>
      <c r="EB23" s="106" t="s">
        <v>53</v>
      </c>
      <c r="EC23" s="130">
        <v>2012</v>
      </c>
      <c r="ED23" s="105">
        <f t="shared" si="42"/>
        <v>0</v>
      </c>
      <c r="EE23" s="106" t="str">
        <f t="shared" si="43"/>
        <v>- - -</v>
      </c>
      <c r="EF23" s="141" t="s">
        <v>43</v>
      </c>
      <c r="EG23" s="106" t="s">
        <v>53</v>
      </c>
      <c r="EH23" s="129" t="s">
        <v>45</v>
      </c>
      <c r="EI23" s="99" t="s">
        <v>53</v>
      </c>
      <c r="EJ23" s="116">
        <v>2012</v>
      </c>
      <c r="EK23" s="131"/>
      <c r="EL23" s="128" t="str">
        <f t="shared" si="44"/>
        <v>- - -</v>
      </c>
      <c r="EM23" s="132" t="str">
        <f t="shared" si="45"/>
        <v>---</v>
      </c>
      <c r="FP23" s="863"/>
      <c r="FQ23" s="863"/>
      <c r="FR23" s="863"/>
      <c r="FS23" s="863"/>
      <c r="FT23" s="863"/>
      <c r="FU23" s="863"/>
      <c r="FV23" s="863"/>
      <c r="FW23" s="863"/>
      <c r="FX23" s="863"/>
      <c r="FY23" s="863"/>
      <c r="FZ23" s="863"/>
      <c r="GA23" s="863"/>
      <c r="GB23" s="863"/>
      <c r="GC23" s="863"/>
      <c r="GD23" s="863"/>
      <c r="GE23" s="863"/>
      <c r="GF23" s="863"/>
      <c r="GG23" s="863"/>
      <c r="GH23" s="863"/>
      <c r="GI23" s="863"/>
      <c r="GJ23" s="863"/>
      <c r="GK23" s="863"/>
      <c r="GL23" s="863"/>
      <c r="GM23" s="863"/>
      <c r="GN23" s="863"/>
      <c r="GO23" s="863"/>
      <c r="GP23" s="863"/>
      <c r="GQ23" s="863"/>
      <c r="GR23" s="863"/>
      <c r="GS23" s="863"/>
      <c r="GT23" s="863"/>
    </row>
    <row r="24" spans="1:202" s="132" customFormat="1" ht="27" customHeight="1" x14ac:dyDescent="0.2">
      <c r="A24" s="547">
        <v>382</v>
      </c>
      <c r="B24" s="322">
        <v>8</v>
      </c>
      <c r="C24" s="99"/>
      <c r="D24" s="99" t="str">
        <f t="shared" si="0"/>
        <v>Ông</v>
      </c>
      <c r="E24" s="549" t="s">
        <v>196</v>
      </c>
      <c r="F24" s="550" t="s">
        <v>63</v>
      </c>
      <c r="G24" s="551" t="s">
        <v>165</v>
      </c>
      <c r="H24" s="551" t="s">
        <v>53</v>
      </c>
      <c r="I24" s="551" t="s">
        <v>50</v>
      </c>
      <c r="J24" s="98" t="s">
        <v>53</v>
      </c>
      <c r="K24" s="98">
        <v>1978</v>
      </c>
      <c r="L24" s="98" t="s">
        <v>81</v>
      </c>
      <c r="M24" s="98" t="str">
        <f t="shared" si="1"/>
        <v>NLĐ</v>
      </c>
      <c r="N24" s="98"/>
      <c r="O24" s="98" t="e">
        <f t="shared" si="2"/>
        <v>#N/A</v>
      </c>
      <c r="P24" s="98"/>
      <c r="Q24" s="549" t="e">
        <f>VLOOKUP(P24,'[2]- DLiêu Gốc -'!$C$2:$H$114,2,0)</f>
        <v>#N/A</v>
      </c>
      <c r="R24" s="580" t="s">
        <v>197</v>
      </c>
      <c r="S24" s="552" t="s">
        <v>198</v>
      </c>
      <c r="T24" s="553" t="str">
        <f>VLOOKUP(Y24,'[2]- DLiêu Gốc -'!$C$2:$H$60,5,0)</f>
        <v>A1</v>
      </c>
      <c r="U24" s="553" t="str">
        <f>VLOOKUP(Y24,'[2]- DLiêu Gốc -'!$C$2:$H$60,6,0)</f>
        <v>- - -</v>
      </c>
      <c r="V24" s="554" t="s">
        <v>74</v>
      </c>
      <c r="W24" s="555" t="str">
        <f t="shared" si="3"/>
        <v>Chuyên viên</v>
      </c>
      <c r="X24" s="556" t="str">
        <f t="shared" si="4"/>
        <v>01.003</v>
      </c>
      <c r="Y24" s="557" t="s">
        <v>42</v>
      </c>
      <c r="Z24" s="556" t="str">
        <f>VLOOKUP(Y24,'[2]- DLiêu Gốc -'!$C$1:$H$132,2,0)</f>
        <v>01.003</v>
      </c>
      <c r="AA24" s="558" t="str">
        <f t="shared" si="5"/>
        <v>Lương</v>
      </c>
      <c r="AB24" s="559">
        <v>4</v>
      </c>
      <c r="AC24" s="470" t="str">
        <f t="shared" si="6"/>
        <v>/</v>
      </c>
      <c r="AD24" s="51">
        <f t="shared" si="7"/>
        <v>9</v>
      </c>
      <c r="AE24" s="560">
        <f t="shared" si="8"/>
        <v>3.33</v>
      </c>
      <c r="AF24" s="561"/>
      <c r="AG24" s="51"/>
      <c r="AH24" s="562" t="s">
        <v>43</v>
      </c>
      <c r="AI24" s="563" t="s">
        <v>53</v>
      </c>
      <c r="AJ24" s="564" t="s">
        <v>45</v>
      </c>
      <c r="AK24" s="838" t="s">
        <v>53</v>
      </c>
      <c r="AL24" s="565">
        <v>2015</v>
      </c>
      <c r="AM24" s="566"/>
      <c r="AN24" s="567"/>
      <c r="AO24" s="568">
        <f t="shared" si="9"/>
        <v>5</v>
      </c>
      <c r="AP24" s="569" t="str">
        <f t="shared" si="10"/>
        <v>/</v>
      </c>
      <c r="AQ24" s="570">
        <f t="shared" si="11"/>
        <v>9</v>
      </c>
      <c r="AR24" s="578">
        <f t="shared" si="12"/>
        <v>3.66</v>
      </c>
      <c r="AS24" s="51"/>
      <c r="AT24" s="571" t="s">
        <v>43</v>
      </c>
      <c r="AU24" s="572" t="s">
        <v>53</v>
      </c>
      <c r="AV24" s="573" t="s">
        <v>45</v>
      </c>
      <c r="AW24" s="574" t="s">
        <v>53</v>
      </c>
      <c r="AX24" s="575">
        <v>2018</v>
      </c>
      <c r="AY24" s="579"/>
      <c r="AZ24" s="125">
        <v>5</v>
      </c>
      <c r="BA24" s="107">
        <f t="shared" si="13"/>
        <v>3</v>
      </c>
      <c r="BB24" s="576">
        <f t="shared" si="14"/>
        <v>-24221</v>
      </c>
      <c r="BC24" s="104">
        <f>VLOOKUP(Y24,'[2]- DLiêu Gốc -'!$C$1:$F$60,3,0)</f>
        <v>2.34</v>
      </c>
      <c r="BD24" s="104">
        <f>VLOOKUP(Y24,'[2]- DLiêu Gốc -'!$C$1:$F$60,4,0)</f>
        <v>0.33</v>
      </c>
      <c r="BE24" s="109" t="str">
        <f t="shared" si="15"/>
        <v>o-o-o</v>
      </c>
      <c r="BF24" s="110"/>
      <c r="BG24" s="212"/>
      <c r="BH24" s="112"/>
      <c r="BI24" s="410"/>
      <c r="BJ24" s="211"/>
      <c r="BK24" s="410"/>
      <c r="BL24" s="135"/>
      <c r="BM24" s="108"/>
      <c r="BN24" s="147"/>
      <c r="BO24" s="111"/>
      <c r="BP24" s="548"/>
      <c r="BQ24" s="112"/>
      <c r="BR24" s="410"/>
      <c r="BS24" s="211"/>
      <c r="BT24" s="410"/>
      <c r="BU24" s="135"/>
      <c r="BV24" s="137"/>
      <c r="BW24" s="116"/>
      <c r="BX24" s="577" t="str">
        <f t="shared" si="16"/>
        <v>- - -</v>
      </c>
      <c r="BY24" s="109" t="str">
        <f t="shared" si="17"/>
        <v>- - -</v>
      </c>
      <c r="BZ24" s="100" t="str">
        <f t="shared" si="18"/>
        <v>Chánh Văn phòng Học viện, Trưởng Ban Tổ chức - Cán bộ, Trưởng Phòng Quản lý đào tạo và Phát triển nhân lực hành chính</v>
      </c>
      <c r="CA24" s="113" t="str">
        <f t="shared" si="19"/>
        <v>A</v>
      </c>
      <c r="CB24" s="114" t="str">
        <f t="shared" si="20"/>
        <v>=&gt; s</v>
      </c>
      <c r="CC24" s="103">
        <f t="shared" si="21"/>
        <v>24245</v>
      </c>
      <c r="CD24" s="99" t="str">
        <f t="shared" si="22"/>
        <v>---</v>
      </c>
      <c r="CE24" s="99"/>
      <c r="CF24" s="164"/>
      <c r="CG24" s="99"/>
      <c r="CH24" s="115"/>
      <c r="CI24" s="99" t="str">
        <f t="shared" si="23"/>
        <v>- - -</v>
      </c>
      <c r="CJ24" s="116" t="str">
        <f t="shared" si="24"/>
        <v>- - -</v>
      </c>
      <c r="CK24" s="117"/>
      <c r="CL24" s="118"/>
      <c r="CM24" s="117"/>
      <c r="CN24" s="119"/>
      <c r="CO24" s="116" t="str">
        <f t="shared" si="25"/>
        <v>- - -</v>
      </c>
      <c r="CP24" s="117"/>
      <c r="CQ24" s="118"/>
      <c r="CR24" s="117"/>
      <c r="CS24" s="119"/>
      <c r="CT24" s="120" t="str">
        <f t="shared" si="26"/>
        <v>---</v>
      </c>
      <c r="CU24" s="148" t="str">
        <f t="shared" si="27"/>
        <v>/-/ /-/</v>
      </c>
      <c r="CV24" s="121">
        <f t="shared" si="28"/>
        <v>10</v>
      </c>
      <c r="CW24" s="122">
        <f t="shared" si="29"/>
        <v>2038</v>
      </c>
      <c r="CX24" s="121">
        <f t="shared" si="30"/>
        <v>7</v>
      </c>
      <c r="CY24" s="122">
        <f t="shared" si="31"/>
        <v>2038</v>
      </c>
      <c r="CZ24" s="121">
        <f t="shared" si="32"/>
        <v>4</v>
      </c>
      <c r="DA24" s="122">
        <f t="shared" si="33"/>
        <v>2038</v>
      </c>
      <c r="DB24" s="123" t="str">
        <f t="shared" si="34"/>
        <v>- - -</v>
      </c>
      <c r="DC24" s="124" t="str">
        <f t="shared" si="35"/>
        <v>. .</v>
      </c>
      <c r="DD24" s="124"/>
      <c r="DE24" s="103">
        <f t="shared" si="36"/>
        <v>720</v>
      </c>
      <c r="DF24" s="103">
        <f t="shared" si="37"/>
        <v>-23733</v>
      </c>
      <c r="DG24" s="103">
        <f t="shared" si="38"/>
        <v>-1978</v>
      </c>
      <c r="DH24" s="103" t="str">
        <f t="shared" si="39"/>
        <v>Nam dưới 35</v>
      </c>
      <c r="DI24" s="103" t="s">
        <v>199</v>
      </c>
      <c r="DJ24" s="103" t="e">
        <f>#REF!+#REF!</f>
        <v>#REF!</v>
      </c>
      <c r="DK24" s="109" t="str">
        <f t="shared" si="40"/>
        <v>Đến 30</v>
      </c>
      <c r="DL24" s="117" t="str">
        <f t="shared" si="41"/>
        <v>--</v>
      </c>
      <c r="DM24" s="101"/>
      <c r="DN24" s="99"/>
      <c r="DO24" s="136"/>
      <c r="DP24" s="101"/>
      <c r="DQ24" s="119"/>
      <c r="DR24" s="125"/>
      <c r="DS24" s="126"/>
      <c r="DT24" s="127"/>
      <c r="DU24" s="128"/>
      <c r="DV24" s="102" t="s">
        <v>197</v>
      </c>
      <c r="DW24" s="105" t="s">
        <v>200</v>
      </c>
      <c r="DX24" s="106" t="s">
        <v>197</v>
      </c>
      <c r="DY24" s="141" t="s">
        <v>43</v>
      </c>
      <c r="DZ24" s="106" t="s">
        <v>53</v>
      </c>
      <c r="EA24" s="129" t="s">
        <v>45</v>
      </c>
      <c r="EB24" s="106" t="s">
        <v>53</v>
      </c>
      <c r="EC24" s="130">
        <v>2012</v>
      </c>
      <c r="ED24" s="105">
        <f t="shared" si="42"/>
        <v>0</v>
      </c>
      <c r="EE24" s="106" t="str">
        <f t="shared" si="43"/>
        <v>- - -</v>
      </c>
      <c r="EF24" s="141" t="s">
        <v>43</v>
      </c>
      <c r="EG24" s="106" t="s">
        <v>53</v>
      </c>
      <c r="EH24" s="129" t="s">
        <v>45</v>
      </c>
      <c r="EI24" s="99" t="s">
        <v>53</v>
      </c>
      <c r="EJ24" s="116">
        <v>2012</v>
      </c>
      <c r="EK24" s="131"/>
      <c r="EL24" s="128" t="str">
        <f t="shared" si="44"/>
        <v>- - -</v>
      </c>
      <c r="EM24" s="132" t="str">
        <f t="shared" si="45"/>
        <v>---</v>
      </c>
      <c r="FP24" s="863"/>
      <c r="FQ24" s="863"/>
      <c r="FR24" s="863"/>
      <c r="FS24" s="863"/>
      <c r="FT24" s="863"/>
      <c r="FU24" s="863"/>
      <c r="FV24" s="863"/>
      <c r="FW24" s="863"/>
      <c r="FX24" s="863"/>
      <c r="FY24" s="863"/>
      <c r="FZ24" s="863"/>
      <c r="GA24" s="863"/>
      <c r="GB24" s="863"/>
      <c r="GC24" s="863"/>
      <c r="GD24" s="863"/>
      <c r="GE24" s="863"/>
      <c r="GF24" s="863"/>
      <c r="GG24" s="863"/>
      <c r="GH24" s="863"/>
      <c r="GI24" s="863"/>
      <c r="GJ24" s="863"/>
      <c r="GK24" s="863"/>
      <c r="GL24" s="863"/>
      <c r="GM24" s="863"/>
      <c r="GN24" s="863"/>
      <c r="GO24" s="863"/>
      <c r="GP24" s="863"/>
      <c r="GQ24" s="863"/>
      <c r="GR24" s="863"/>
      <c r="GS24" s="863"/>
      <c r="GT24" s="863"/>
    </row>
    <row r="25" spans="1:202" s="132" customFormat="1" ht="24.75" customHeight="1" x14ac:dyDescent="0.2">
      <c r="A25" s="547">
        <v>421</v>
      </c>
      <c r="B25" s="322">
        <v>9</v>
      </c>
      <c r="C25" s="99"/>
      <c r="D25" s="99" t="str">
        <f t="shared" si="0"/>
        <v>Bà</v>
      </c>
      <c r="E25" s="549" t="s">
        <v>201</v>
      </c>
      <c r="F25" s="550" t="s">
        <v>64</v>
      </c>
      <c r="G25" s="551" t="s">
        <v>202</v>
      </c>
      <c r="H25" s="551" t="s">
        <v>53</v>
      </c>
      <c r="I25" s="551">
        <v>7</v>
      </c>
      <c r="J25" s="98" t="s">
        <v>53</v>
      </c>
      <c r="K25" s="98">
        <v>1976</v>
      </c>
      <c r="L25" s="98" t="s">
        <v>83</v>
      </c>
      <c r="M25" s="98" t="str">
        <f t="shared" si="1"/>
        <v>VC</v>
      </c>
      <c r="N25" s="98"/>
      <c r="O25" s="98" t="str">
        <f t="shared" si="2"/>
        <v>CVụ</v>
      </c>
      <c r="P25" s="98" t="s">
        <v>203</v>
      </c>
      <c r="Q25" s="549" t="str">
        <f>VLOOKUP(P25,'[1]- DLiêu Gốc (Không sửa)'!$C$2:$H$116,2,0)</f>
        <v>0,4</v>
      </c>
      <c r="R25" s="580" t="s">
        <v>204</v>
      </c>
      <c r="S25" s="552" t="s">
        <v>205</v>
      </c>
      <c r="T25" s="553" t="str">
        <f>VLOOKUP(Y25,'[2]- DLiêu Gốc -'!$C$2:$H$60,5,0)</f>
        <v>A1</v>
      </c>
      <c r="U25" s="553" t="str">
        <f>VLOOKUP(Y25,'[2]- DLiêu Gốc -'!$C$2:$H$60,6,0)</f>
        <v>- - -</v>
      </c>
      <c r="V25" s="554" t="s">
        <v>74</v>
      </c>
      <c r="W25" s="555" t="str">
        <f t="shared" si="3"/>
        <v>Biên tập viên hạng III</v>
      </c>
      <c r="X25" s="556" t="str">
        <f t="shared" si="4"/>
        <v>V1.11.01.03</v>
      </c>
      <c r="Y25" s="557" t="s">
        <v>206</v>
      </c>
      <c r="Z25" s="556" t="str">
        <f>VLOOKUP(Y25,'[2]- DLiêu Gốc -'!$C$1:$H$132,2,0)</f>
        <v>V1.11.01.03</v>
      </c>
      <c r="AA25" s="558" t="str">
        <f t="shared" si="5"/>
        <v>Lương</v>
      </c>
      <c r="AB25" s="559">
        <v>6</v>
      </c>
      <c r="AC25" s="470" t="str">
        <f t="shared" si="6"/>
        <v>/</v>
      </c>
      <c r="AD25" s="51">
        <f t="shared" si="7"/>
        <v>9</v>
      </c>
      <c r="AE25" s="560">
        <f t="shared" si="8"/>
        <v>3.99</v>
      </c>
      <c r="AF25" s="561"/>
      <c r="AG25" s="51"/>
      <c r="AH25" s="562" t="s">
        <v>43</v>
      </c>
      <c r="AI25" s="563" t="s">
        <v>53</v>
      </c>
      <c r="AJ25" s="564" t="s">
        <v>45</v>
      </c>
      <c r="AK25" s="838" t="s">
        <v>53</v>
      </c>
      <c r="AL25" s="565">
        <v>2015</v>
      </c>
      <c r="AM25" s="566"/>
      <c r="AN25" s="567"/>
      <c r="AO25" s="568">
        <f t="shared" si="9"/>
        <v>7</v>
      </c>
      <c r="AP25" s="569" t="str">
        <f t="shared" si="10"/>
        <v>/</v>
      </c>
      <c r="AQ25" s="570">
        <f t="shared" si="11"/>
        <v>9</v>
      </c>
      <c r="AR25" s="578">
        <f t="shared" si="12"/>
        <v>4.32</v>
      </c>
      <c r="AS25" s="51"/>
      <c r="AT25" s="571" t="s">
        <v>43</v>
      </c>
      <c r="AU25" s="572" t="s">
        <v>53</v>
      </c>
      <c r="AV25" s="573" t="s">
        <v>45</v>
      </c>
      <c r="AW25" s="574" t="s">
        <v>53</v>
      </c>
      <c r="AX25" s="575">
        <v>2018</v>
      </c>
      <c r="AY25" s="579"/>
      <c r="AZ25" s="125">
        <v>5</v>
      </c>
      <c r="BA25" s="107">
        <f t="shared" si="13"/>
        <v>3</v>
      </c>
      <c r="BB25" s="576">
        <f t="shared" si="14"/>
        <v>-24221</v>
      </c>
      <c r="BC25" s="104">
        <f>VLOOKUP(Y25,'[2]- DLiêu Gốc -'!$C$1:$F$60,3,0)</f>
        <v>2.34</v>
      </c>
      <c r="BD25" s="104">
        <f>VLOOKUP(Y25,'[2]- DLiêu Gốc -'!$C$1:$F$60,4,0)</f>
        <v>0.33</v>
      </c>
      <c r="BE25" s="109" t="str">
        <f t="shared" si="15"/>
        <v>o-o-o</v>
      </c>
      <c r="BF25" s="110"/>
      <c r="BG25" s="212"/>
      <c r="BH25" s="112"/>
      <c r="BI25" s="410"/>
      <c r="BJ25" s="211"/>
      <c r="BK25" s="410"/>
      <c r="BL25" s="135"/>
      <c r="BM25" s="108"/>
      <c r="BN25" s="147"/>
      <c r="BO25" s="111"/>
      <c r="BP25" s="548"/>
      <c r="BQ25" s="112"/>
      <c r="BR25" s="410"/>
      <c r="BS25" s="211"/>
      <c r="BT25" s="410"/>
      <c r="BU25" s="135"/>
      <c r="BV25" s="137"/>
      <c r="BW25" s="116"/>
      <c r="BX25" s="577" t="str">
        <f t="shared" si="16"/>
        <v>- - -</v>
      </c>
      <c r="BY25" s="109" t="str">
        <f t="shared" si="17"/>
        <v>- - -</v>
      </c>
      <c r="BZ25" s="100" t="str">
        <f t="shared" si="18"/>
        <v>Chánh Văn phòng Học viện, Trưởng Ban Tổ chức - Cán bộ, Tổng Biên tập Tạp chí Quản lý nhà nước</v>
      </c>
      <c r="CA25" s="113" t="str">
        <f t="shared" si="19"/>
        <v>A</v>
      </c>
      <c r="CB25" s="114" t="str">
        <f t="shared" si="20"/>
        <v>=&gt; s</v>
      </c>
      <c r="CC25" s="103">
        <f t="shared" si="21"/>
        <v>24245</v>
      </c>
      <c r="CD25" s="99" t="str">
        <f t="shared" si="22"/>
        <v>S</v>
      </c>
      <c r="CE25" s="99">
        <v>2012</v>
      </c>
      <c r="CF25" s="164" t="s">
        <v>207</v>
      </c>
      <c r="CG25" s="99"/>
      <c r="CH25" s="115"/>
      <c r="CI25" s="99" t="str">
        <f t="shared" si="23"/>
        <v>- - -</v>
      </c>
      <c r="CJ25" s="116" t="str">
        <f t="shared" si="24"/>
        <v>- - -</v>
      </c>
      <c r="CK25" s="117"/>
      <c r="CL25" s="118"/>
      <c r="CM25" s="117"/>
      <c r="CN25" s="119"/>
      <c r="CO25" s="116" t="str">
        <f t="shared" si="25"/>
        <v>- - -</v>
      </c>
      <c r="CP25" s="117"/>
      <c r="CQ25" s="118"/>
      <c r="CR25" s="117"/>
      <c r="CS25" s="119"/>
      <c r="CT25" s="120" t="str">
        <f t="shared" si="26"/>
        <v>---</v>
      </c>
      <c r="CU25" s="148" t="str">
        <f t="shared" si="27"/>
        <v>/-/ /-/</v>
      </c>
      <c r="CV25" s="121">
        <f t="shared" si="28"/>
        <v>8</v>
      </c>
      <c r="CW25" s="122">
        <f t="shared" si="29"/>
        <v>2031</v>
      </c>
      <c r="CX25" s="121">
        <f t="shared" si="30"/>
        <v>5</v>
      </c>
      <c r="CY25" s="122">
        <f t="shared" si="31"/>
        <v>2031</v>
      </c>
      <c r="CZ25" s="121">
        <f t="shared" si="32"/>
        <v>2</v>
      </c>
      <c r="DA25" s="122">
        <f t="shared" si="33"/>
        <v>2031</v>
      </c>
      <c r="DB25" s="123" t="str">
        <f t="shared" si="34"/>
        <v>- - -</v>
      </c>
      <c r="DC25" s="124" t="str">
        <f t="shared" si="35"/>
        <v>. .</v>
      </c>
      <c r="DD25" s="124"/>
      <c r="DE25" s="103">
        <f t="shared" si="36"/>
        <v>660</v>
      </c>
      <c r="DF25" s="103">
        <f t="shared" si="37"/>
        <v>-23707</v>
      </c>
      <c r="DG25" s="103">
        <f t="shared" si="38"/>
        <v>-1976</v>
      </c>
      <c r="DH25" s="103" t="str">
        <f t="shared" si="39"/>
        <v>Nữ dưới 30</v>
      </c>
      <c r="DI25" s="103"/>
      <c r="DJ25" s="103"/>
      <c r="DK25" s="109" t="str">
        <f t="shared" si="40"/>
        <v>Đến 30</v>
      </c>
      <c r="DL25" s="117" t="str">
        <f t="shared" si="41"/>
        <v>--</v>
      </c>
      <c r="DM25" s="101"/>
      <c r="DN25" s="99"/>
      <c r="DO25" s="136"/>
      <c r="DP25" s="101"/>
      <c r="DQ25" s="119"/>
      <c r="DR25" s="125"/>
      <c r="DS25" s="126"/>
      <c r="DT25" s="127"/>
      <c r="DU25" s="128"/>
      <c r="DV25" s="102" t="s">
        <v>204</v>
      </c>
      <c r="DW25" s="105" t="s">
        <v>205</v>
      </c>
      <c r="DX25" s="106" t="s">
        <v>204</v>
      </c>
      <c r="DY25" s="141" t="s">
        <v>43</v>
      </c>
      <c r="DZ25" s="106" t="s">
        <v>53</v>
      </c>
      <c r="EA25" s="129" t="s">
        <v>45</v>
      </c>
      <c r="EB25" s="106" t="s">
        <v>53</v>
      </c>
      <c r="EC25" s="130">
        <v>2012</v>
      </c>
      <c r="ED25" s="105">
        <f t="shared" si="42"/>
        <v>0</v>
      </c>
      <c r="EE25" s="106" t="str">
        <f t="shared" si="43"/>
        <v>- - -</v>
      </c>
      <c r="EF25" s="141" t="s">
        <v>43</v>
      </c>
      <c r="EG25" s="106" t="s">
        <v>53</v>
      </c>
      <c r="EH25" s="129" t="s">
        <v>45</v>
      </c>
      <c r="EI25" s="99" t="s">
        <v>53</v>
      </c>
      <c r="EJ25" s="116">
        <v>2012</v>
      </c>
      <c r="EK25" s="131"/>
      <c r="EL25" s="128" t="str">
        <f t="shared" si="44"/>
        <v>- - -</v>
      </c>
      <c r="EM25" s="132" t="str">
        <f t="shared" si="45"/>
        <v>---</v>
      </c>
      <c r="FP25" s="863"/>
      <c r="FQ25" s="863"/>
      <c r="FR25" s="863"/>
      <c r="FS25" s="863"/>
      <c r="FT25" s="863"/>
      <c r="FU25" s="863"/>
      <c r="FV25" s="863"/>
      <c r="FW25" s="863"/>
      <c r="FX25" s="863"/>
      <c r="FY25" s="863"/>
      <c r="FZ25" s="863"/>
      <c r="GA25" s="863"/>
      <c r="GB25" s="863"/>
      <c r="GC25" s="863"/>
      <c r="GD25" s="863"/>
      <c r="GE25" s="863"/>
      <c r="GF25" s="863"/>
      <c r="GG25" s="863"/>
      <c r="GH25" s="863"/>
      <c r="GI25" s="863"/>
      <c r="GJ25" s="863"/>
      <c r="GK25" s="863"/>
      <c r="GL25" s="863"/>
      <c r="GM25" s="863"/>
      <c r="GN25" s="863"/>
      <c r="GO25" s="863"/>
      <c r="GP25" s="863"/>
      <c r="GQ25" s="863"/>
      <c r="GR25" s="863"/>
      <c r="GS25" s="863"/>
      <c r="GT25" s="863"/>
    </row>
    <row r="26" spans="1:202" s="132" customFormat="1" ht="27" customHeight="1" x14ac:dyDescent="0.2">
      <c r="A26" s="547">
        <v>566</v>
      </c>
      <c r="B26" s="322">
        <v>10</v>
      </c>
      <c r="C26" s="99"/>
      <c r="D26" s="99" t="str">
        <f t="shared" si="0"/>
        <v>Bà</v>
      </c>
      <c r="E26" s="549" t="s">
        <v>208</v>
      </c>
      <c r="F26" s="550" t="s">
        <v>64</v>
      </c>
      <c r="G26" s="551" t="s">
        <v>151</v>
      </c>
      <c r="H26" s="551" t="s">
        <v>53</v>
      </c>
      <c r="I26" s="551" t="s">
        <v>51</v>
      </c>
      <c r="J26" s="98" t="s">
        <v>53</v>
      </c>
      <c r="K26" s="98">
        <v>1977</v>
      </c>
      <c r="L26" s="98" t="s">
        <v>81</v>
      </c>
      <c r="M26" s="98" t="str">
        <f t="shared" si="1"/>
        <v>NLĐ</v>
      </c>
      <c r="N26" s="98"/>
      <c r="O26" s="98" t="e">
        <f t="shared" si="2"/>
        <v>#N/A</v>
      </c>
      <c r="P26" s="98"/>
      <c r="Q26" s="549" t="e">
        <f>VLOOKUP(P26,'[1]- DLiêu Gốc (Không sửa)'!$C$2:$H$116,2,0)</f>
        <v>#N/A</v>
      </c>
      <c r="R26" s="580" t="s">
        <v>209</v>
      </c>
      <c r="S26" s="552" t="s">
        <v>210</v>
      </c>
      <c r="T26" s="553" t="str">
        <f>VLOOKUP(Y26,'[2]- DLiêu Gốc -'!$C$2:$H$60,5,0)</f>
        <v>A1</v>
      </c>
      <c r="U26" s="553" t="str">
        <f>VLOOKUP(Y26,'[2]- DLiêu Gốc -'!$C$2:$H$60,6,0)</f>
        <v>- - -</v>
      </c>
      <c r="V26" s="554" t="s">
        <v>74</v>
      </c>
      <c r="W26" s="555" t="str">
        <f t="shared" si="3"/>
        <v>Chuyên viên</v>
      </c>
      <c r="X26" s="556" t="str">
        <f t="shared" si="4"/>
        <v>01.003</v>
      </c>
      <c r="Y26" s="557" t="s">
        <v>42</v>
      </c>
      <c r="Z26" s="556" t="str">
        <f>VLOOKUP(Y26,'[2]- DLiêu Gốc -'!$C$1:$H$132,2,0)</f>
        <v>01.003</v>
      </c>
      <c r="AA26" s="558" t="str">
        <f t="shared" si="5"/>
        <v>Lương</v>
      </c>
      <c r="AB26" s="559">
        <v>5</v>
      </c>
      <c r="AC26" s="470" t="str">
        <f t="shared" si="6"/>
        <v>/</v>
      </c>
      <c r="AD26" s="51">
        <f t="shared" si="7"/>
        <v>9</v>
      </c>
      <c r="AE26" s="560">
        <f t="shared" si="8"/>
        <v>3.66</v>
      </c>
      <c r="AF26" s="561"/>
      <c r="AG26" s="51"/>
      <c r="AH26" s="562" t="s">
        <v>43</v>
      </c>
      <c r="AI26" s="563" t="s">
        <v>53</v>
      </c>
      <c r="AJ26" s="564" t="s">
        <v>45</v>
      </c>
      <c r="AK26" s="838" t="s">
        <v>53</v>
      </c>
      <c r="AL26" s="565">
        <v>2015</v>
      </c>
      <c r="AM26" s="566"/>
      <c r="AN26" s="567"/>
      <c r="AO26" s="568">
        <f t="shared" si="9"/>
        <v>6</v>
      </c>
      <c r="AP26" s="569" t="str">
        <f t="shared" si="10"/>
        <v>/</v>
      </c>
      <c r="AQ26" s="570">
        <f t="shared" si="11"/>
        <v>9</v>
      </c>
      <c r="AR26" s="578">
        <f t="shared" si="12"/>
        <v>3.99</v>
      </c>
      <c r="AS26" s="51"/>
      <c r="AT26" s="571" t="s">
        <v>43</v>
      </c>
      <c r="AU26" s="572" t="s">
        <v>53</v>
      </c>
      <c r="AV26" s="573" t="s">
        <v>45</v>
      </c>
      <c r="AW26" s="574" t="s">
        <v>53</v>
      </c>
      <c r="AX26" s="575">
        <v>2018</v>
      </c>
      <c r="AY26" s="579"/>
      <c r="AZ26" s="125">
        <v>5</v>
      </c>
      <c r="BA26" s="107">
        <f t="shared" si="13"/>
        <v>3</v>
      </c>
      <c r="BB26" s="576">
        <f t="shared" si="14"/>
        <v>-24221</v>
      </c>
      <c r="BC26" s="104">
        <f>VLOOKUP(Y26,'[2]- DLiêu Gốc -'!$C$1:$F$60,3,0)</f>
        <v>2.34</v>
      </c>
      <c r="BD26" s="104">
        <f>VLOOKUP(Y26,'[2]- DLiêu Gốc -'!$C$1:$F$60,4,0)</f>
        <v>0.33</v>
      </c>
      <c r="BE26" s="109" t="str">
        <f t="shared" si="15"/>
        <v>o-o-o</v>
      </c>
      <c r="BF26" s="110"/>
      <c r="BG26" s="212"/>
      <c r="BH26" s="112"/>
      <c r="BI26" s="410"/>
      <c r="BJ26" s="211"/>
      <c r="BK26" s="410"/>
      <c r="BL26" s="135"/>
      <c r="BM26" s="108"/>
      <c r="BN26" s="147"/>
      <c r="BO26" s="111"/>
      <c r="BP26" s="548"/>
      <c r="BQ26" s="112"/>
      <c r="BR26" s="410"/>
      <c r="BS26" s="211"/>
      <c r="BT26" s="410"/>
      <c r="BU26" s="135"/>
      <c r="BV26" s="137"/>
      <c r="BW26" s="116"/>
      <c r="BX26" s="577" t="str">
        <f t="shared" si="16"/>
        <v>- - -</v>
      </c>
      <c r="BY26" s="109" t="str">
        <f t="shared" si="17"/>
        <v>- - -</v>
      </c>
      <c r="BZ26" s="100" t="str">
        <f t="shared" si="18"/>
        <v>Chánh Văn phòng Học viện, Trưởng Ban Tổ chức - Cán bộ, Viện Trưởng Viện Nghiên cứu Khoa học hành chính</v>
      </c>
      <c r="CA26" s="113" t="str">
        <f t="shared" si="19"/>
        <v>A</v>
      </c>
      <c r="CB26" s="114" t="str">
        <f t="shared" si="20"/>
        <v>=&gt; s</v>
      </c>
      <c r="CC26" s="103">
        <f t="shared" si="21"/>
        <v>24245</v>
      </c>
      <c r="CD26" s="99" t="str">
        <f t="shared" si="22"/>
        <v>---</v>
      </c>
      <c r="CE26" s="99"/>
      <c r="CF26" s="164"/>
      <c r="CG26" s="99"/>
      <c r="CH26" s="115"/>
      <c r="CI26" s="99" t="str">
        <f t="shared" si="23"/>
        <v>- - -</v>
      </c>
      <c r="CJ26" s="116" t="str">
        <f t="shared" si="24"/>
        <v>- - -</v>
      </c>
      <c r="CK26" s="117"/>
      <c r="CL26" s="118"/>
      <c r="CM26" s="117"/>
      <c r="CN26" s="119"/>
      <c r="CO26" s="116" t="str">
        <f t="shared" si="25"/>
        <v>- - -</v>
      </c>
      <c r="CP26" s="117"/>
      <c r="CQ26" s="118"/>
      <c r="CR26" s="117"/>
      <c r="CS26" s="119"/>
      <c r="CT26" s="120" t="str">
        <f t="shared" si="26"/>
        <v>---</v>
      </c>
      <c r="CU26" s="148" t="str">
        <f t="shared" si="27"/>
        <v>/-/ /-/</v>
      </c>
      <c r="CV26" s="121">
        <f t="shared" si="28"/>
        <v>1</v>
      </c>
      <c r="CW26" s="122">
        <f t="shared" si="29"/>
        <v>2033</v>
      </c>
      <c r="CX26" s="121">
        <f t="shared" si="30"/>
        <v>10</v>
      </c>
      <c r="CY26" s="122">
        <f t="shared" si="31"/>
        <v>2032</v>
      </c>
      <c r="CZ26" s="121">
        <f t="shared" si="32"/>
        <v>7</v>
      </c>
      <c r="DA26" s="122">
        <f t="shared" si="33"/>
        <v>2032</v>
      </c>
      <c r="DB26" s="123" t="str">
        <f t="shared" si="34"/>
        <v>- - -</v>
      </c>
      <c r="DC26" s="124" t="str">
        <f t="shared" si="35"/>
        <v>. .</v>
      </c>
      <c r="DD26" s="124"/>
      <c r="DE26" s="103">
        <f t="shared" si="36"/>
        <v>660</v>
      </c>
      <c r="DF26" s="103">
        <f t="shared" si="37"/>
        <v>-23724</v>
      </c>
      <c r="DG26" s="103">
        <f t="shared" si="38"/>
        <v>-1977</v>
      </c>
      <c r="DH26" s="103" t="str">
        <f t="shared" si="39"/>
        <v>Nữ dưới 30</v>
      </c>
      <c r="DI26" s="103"/>
      <c r="DJ26" s="103"/>
      <c r="DK26" s="109" t="str">
        <f t="shared" si="40"/>
        <v>Đến 30</v>
      </c>
      <c r="DL26" s="117" t="str">
        <f t="shared" si="41"/>
        <v>--</v>
      </c>
      <c r="DM26" s="101"/>
      <c r="DN26" s="99"/>
      <c r="DO26" s="136"/>
      <c r="DP26" s="101"/>
      <c r="DQ26" s="119"/>
      <c r="DR26" s="125"/>
      <c r="DS26" s="126"/>
      <c r="DT26" s="127"/>
      <c r="DU26" s="128"/>
      <c r="DV26" s="102" t="s">
        <v>209</v>
      </c>
      <c r="DW26" s="105" t="s">
        <v>210</v>
      </c>
      <c r="DX26" s="106" t="s">
        <v>211</v>
      </c>
      <c r="DY26" s="141" t="s">
        <v>43</v>
      </c>
      <c r="DZ26" s="106" t="s">
        <v>53</v>
      </c>
      <c r="EA26" s="129" t="s">
        <v>45</v>
      </c>
      <c r="EB26" s="106" t="s">
        <v>53</v>
      </c>
      <c r="EC26" s="130">
        <v>2012</v>
      </c>
      <c r="ED26" s="105">
        <f t="shared" si="42"/>
        <v>0</v>
      </c>
      <c r="EE26" s="106" t="str">
        <f t="shared" si="43"/>
        <v>- - -</v>
      </c>
      <c r="EF26" s="141" t="s">
        <v>43</v>
      </c>
      <c r="EG26" s="106" t="s">
        <v>53</v>
      </c>
      <c r="EH26" s="129" t="s">
        <v>45</v>
      </c>
      <c r="EI26" s="99" t="s">
        <v>53</v>
      </c>
      <c r="EJ26" s="116">
        <v>2012</v>
      </c>
      <c r="EK26" s="131"/>
      <c r="EL26" s="128" t="str">
        <f t="shared" si="44"/>
        <v>- - -</v>
      </c>
      <c r="EM26" s="132" t="str">
        <f t="shared" si="45"/>
        <v>---</v>
      </c>
      <c r="FP26" s="863"/>
      <c r="FQ26" s="863"/>
      <c r="FR26" s="863"/>
      <c r="FS26" s="863"/>
      <c r="FT26" s="863"/>
      <c r="FU26" s="863"/>
      <c r="FV26" s="863"/>
      <c r="FW26" s="863"/>
      <c r="FX26" s="863"/>
      <c r="FY26" s="863"/>
      <c r="FZ26" s="863"/>
      <c r="GA26" s="863"/>
      <c r="GB26" s="863"/>
      <c r="GC26" s="863"/>
      <c r="GD26" s="863"/>
      <c r="GE26" s="863"/>
      <c r="GF26" s="863"/>
      <c r="GG26" s="863"/>
      <c r="GH26" s="863"/>
      <c r="GI26" s="863"/>
      <c r="GJ26" s="863"/>
      <c r="GK26" s="863"/>
      <c r="GL26" s="863"/>
      <c r="GM26" s="863"/>
      <c r="GN26" s="863"/>
      <c r="GO26" s="863"/>
      <c r="GP26" s="863"/>
      <c r="GQ26" s="863"/>
      <c r="GR26" s="863"/>
      <c r="GS26" s="863"/>
      <c r="GT26" s="863"/>
    </row>
    <row r="27" spans="1:202" s="132" customFormat="1" ht="42" customHeight="1" x14ac:dyDescent="0.2">
      <c r="A27" s="547">
        <v>611</v>
      </c>
      <c r="B27" s="840">
        <v>11</v>
      </c>
      <c r="C27" s="99"/>
      <c r="D27" s="99" t="str">
        <f t="shared" si="0"/>
        <v>Bà</v>
      </c>
      <c r="E27" s="841" t="s">
        <v>212</v>
      </c>
      <c r="F27" s="842" t="s">
        <v>64</v>
      </c>
      <c r="G27" s="843" t="s">
        <v>151</v>
      </c>
      <c r="H27" s="843" t="s">
        <v>53</v>
      </c>
      <c r="I27" s="843" t="s">
        <v>47</v>
      </c>
      <c r="J27" s="844" t="s">
        <v>53</v>
      </c>
      <c r="K27" s="844">
        <v>1985</v>
      </c>
      <c r="L27" s="844" t="s">
        <v>81</v>
      </c>
      <c r="M27" s="844" t="str">
        <f t="shared" si="1"/>
        <v>NLĐ</v>
      </c>
      <c r="N27" s="844"/>
      <c r="O27" s="844" t="str">
        <f t="shared" si="2"/>
        <v>- -</v>
      </c>
      <c r="P27" s="844"/>
      <c r="Q27" s="841">
        <f>VLOOKUP(P27,'[3]- DLiêu Gốc -'!$B$2:$G$120,2,0)</f>
        <v>0</v>
      </c>
      <c r="R27" s="580" t="s">
        <v>56</v>
      </c>
      <c r="S27" s="567" t="s">
        <v>149</v>
      </c>
      <c r="T27" s="845" t="str">
        <f>VLOOKUP(Y27,'[3]- DLiêu Gốc -'!$B$2:$G$54,5,0)</f>
        <v>B</v>
      </c>
      <c r="U27" s="845" t="str">
        <f>VLOOKUP(Y27,'[3]- DLiêu Gốc -'!$B$2:$G$54,6,0)</f>
        <v>- - -</v>
      </c>
      <c r="V27" s="846" t="s">
        <v>74</v>
      </c>
      <c r="W27" s="847" t="str">
        <f t="shared" si="3"/>
        <v>Cán sự</v>
      </c>
      <c r="X27" s="848" t="str">
        <f t="shared" si="4"/>
        <v>01.004</v>
      </c>
      <c r="Y27" s="849" t="s">
        <v>213</v>
      </c>
      <c r="Z27" s="848" t="str">
        <f>VLOOKUP(Y27,'[2]- DLiêu Gốc -'!$C$1:$H$132,2,0)</f>
        <v>01.004</v>
      </c>
      <c r="AA27" s="850" t="str">
        <f t="shared" si="5"/>
        <v>Lương</v>
      </c>
      <c r="AB27" s="851">
        <v>3</v>
      </c>
      <c r="AC27" s="852" t="str">
        <f t="shared" si="6"/>
        <v>/</v>
      </c>
      <c r="AD27" s="853">
        <f t="shared" si="7"/>
        <v>12</v>
      </c>
      <c r="AE27" s="854">
        <f t="shared" si="8"/>
        <v>2.2600000000000002</v>
      </c>
      <c r="AF27" s="855"/>
      <c r="AG27" s="853"/>
      <c r="AH27" s="562" t="s">
        <v>43</v>
      </c>
      <c r="AI27" s="563" t="s">
        <v>53</v>
      </c>
      <c r="AJ27" s="564" t="s">
        <v>45</v>
      </c>
      <c r="AK27" s="838" t="s">
        <v>53</v>
      </c>
      <c r="AL27" s="565">
        <v>2016</v>
      </c>
      <c r="AM27" s="566"/>
      <c r="AN27" s="567"/>
      <c r="AO27" s="856">
        <f t="shared" si="9"/>
        <v>4</v>
      </c>
      <c r="AP27" s="857" t="str">
        <f t="shared" si="10"/>
        <v>/</v>
      </c>
      <c r="AQ27" s="858">
        <f t="shared" si="11"/>
        <v>12</v>
      </c>
      <c r="AR27" s="578">
        <f t="shared" si="12"/>
        <v>2.4600000000000004</v>
      </c>
      <c r="AS27" s="853"/>
      <c r="AT27" s="562" t="s">
        <v>43</v>
      </c>
      <c r="AU27" s="563" t="s">
        <v>53</v>
      </c>
      <c r="AV27" s="859" t="s">
        <v>45</v>
      </c>
      <c r="AW27" s="838" t="s">
        <v>53</v>
      </c>
      <c r="AX27" s="565">
        <v>2018</v>
      </c>
      <c r="AY27" s="579"/>
      <c r="AZ27" s="125">
        <v>5</v>
      </c>
      <c r="BA27" s="107">
        <f t="shared" si="13"/>
        <v>2</v>
      </c>
      <c r="BB27" s="576">
        <f t="shared" si="14"/>
        <v>-24221</v>
      </c>
      <c r="BC27" s="104">
        <f>VLOOKUP(Y27,'[3]- DLiêu Gốc -'!$B$1:$E$54,3,0)</f>
        <v>1.86</v>
      </c>
      <c r="BD27" s="104">
        <f>VLOOKUP(Y27,'[3]- DLiêu Gốc -'!$B$1:$E$54,4,0)</f>
        <v>0.2</v>
      </c>
      <c r="BE27" s="109" t="str">
        <f t="shared" si="15"/>
        <v>o-o-o</v>
      </c>
      <c r="BF27" s="110"/>
      <c r="BG27" s="212"/>
      <c r="BH27" s="112"/>
      <c r="BI27" s="410"/>
      <c r="BJ27" s="211"/>
      <c r="BK27" s="410"/>
      <c r="BL27" s="135"/>
      <c r="BM27" s="108"/>
      <c r="BN27" s="147"/>
      <c r="BO27" s="111"/>
      <c r="BP27" s="548"/>
      <c r="BQ27" s="112"/>
      <c r="BR27" s="410"/>
      <c r="BS27" s="211"/>
      <c r="BT27" s="410"/>
      <c r="BU27" s="135"/>
      <c r="BV27" s="137" t="s">
        <v>214</v>
      </c>
      <c r="BW27" s="116"/>
      <c r="BX27" s="577" t="str">
        <f t="shared" si="16"/>
        <v>- - -</v>
      </c>
      <c r="BY27" s="109" t="str">
        <f t="shared" si="17"/>
        <v>- - -</v>
      </c>
      <c r="BZ27" s="100" t="str">
        <f t="shared" si="18"/>
        <v>Chánh Văn phòng Học viện, Trưởng Ban Tổ chức - Cán bộ, Trưởng Phân viện Học viện Hành chính Quốc gia tại thành phố Huế</v>
      </c>
      <c r="CA27" s="113" t="str">
        <f t="shared" si="19"/>
        <v>A</v>
      </c>
      <c r="CB27" s="114" t="str">
        <f t="shared" si="20"/>
        <v>=&gt; s</v>
      </c>
      <c r="CC27" s="103">
        <f t="shared" si="21"/>
        <v>24233</v>
      </c>
      <c r="CD27" s="99" t="str">
        <f t="shared" si="22"/>
        <v>---</v>
      </c>
      <c r="CE27" s="99"/>
      <c r="CF27" s="164"/>
      <c r="CG27" s="99"/>
      <c r="CH27" s="115"/>
      <c r="CI27" s="99" t="str">
        <f t="shared" si="23"/>
        <v>- - -</v>
      </c>
      <c r="CJ27" s="116" t="str">
        <f t="shared" si="24"/>
        <v>- - -</v>
      </c>
      <c r="CK27" s="117"/>
      <c r="CL27" s="118"/>
      <c r="CM27" s="117"/>
      <c r="CN27" s="119"/>
      <c r="CO27" s="116" t="str">
        <f t="shared" si="25"/>
        <v>- - -</v>
      </c>
      <c r="CP27" s="117"/>
      <c r="CQ27" s="118"/>
      <c r="CR27" s="117"/>
      <c r="CS27" s="119"/>
      <c r="CT27" s="120" t="str">
        <f>IF(AND(CU27="Hưu",AB27&lt;(AD27-1),DB27&gt;0,DB27&lt;18,OR(BF27&lt;4,AND(BF27&gt;3,OR(BY27&lt;3,BY27&gt;5)))),"Lg Sớm",IF(AND(CU27="Hưu",AB27&gt;(AD27-2),OR(BD27=0.33,BD27=0.34),OR(BF27&lt;4,AND(BF27&gt;3,OR(BY27&lt;3,BY27&gt;5)))),"Nâng Ngạch??",IF(AND(CU27="Hưu",BA27=1,DB27&gt;2,DB27&lt;6,OR(BF27&lt;4,AND(BF27&gt;3,OR(BY27&lt;3,BY27&gt;5)))),"Nâng PcVK cùng QĐ",IF(AND(CU27="Hưu",BF27&gt;3,BY27&gt;2,BY27&lt;6,AB27&lt;(AD27-1),DB27&gt;17,OR(BA27&gt;1,AND(BA27=1,OR(DB27&lt;3,DB27&gt;5)))),"Nâng PcNG cùng QĐ",IF(AND(CU27="Hưu",AB27&lt;(AD27-1),DB27&gt;0,DB27&lt;18,BF27&gt;3,BY27&gt;2,BY27&lt;6),"Nâng Lg Sớm +(PcNG cùng QĐ)",IF(AND(CU27="Hưu",AB27&gt;(AD27-2),OR(BD27=0.33,BD27=0.34),BF27&gt;3,BY27&gt;2,BY27&lt;6),"Nâng Ngạch?? +(PcNG cùng QĐ)",IF(AND(CU27="Hưu",BA27=1,DB27&gt;2,DB27&lt;6,BF27&gt;3,BY27&gt;2,BY27&lt;6),"Nâng (PcVK +PcNG) cùng QĐ",("---"))))))))</f>
        <v>---</v>
      </c>
      <c r="CU27" s="148" t="str">
        <f t="shared" si="27"/>
        <v>/-/ /-/</v>
      </c>
      <c r="CV27" s="121">
        <f t="shared" si="28"/>
        <v>9</v>
      </c>
      <c r="CW27" s="122">
        <f t="shared" si="29"/>
        <v>2040</v>
      </c>
      <c r="CX27" s="121">
        <f t="shared" si="30"/>
        <v>6</v>
      </c>
      <c r="CY27" s="122">
        <f t="shared" si="31"/>
        <v>2040</v>
      </c>
      <c r="CZ27" s="121">
        <f t="shared" si="32"/>
        <v>3</v>
      </c>
      <c r="DA27" s="122">
        <f t="shared" si="33"/>
        <v>2040</v>
      </c>
      <c r="DB27" s="123" t="str">
        <f t="shared" si="34"/>
        <v>- - -</v>
      </c>
      <c r="DC27" s="124" t="str">
        <f t="shared" si="35"/>
        <v>. .</v>
      </c>
      <c r="DD27" s="124"/>
      <c r="DE27" s="103">
        <f t="shared" si="36"/>
        <v>660</v>
      </c>
      <c r="DF27" s="103">
        <f t="shared" si="37"/>
        <v>-23816</v>
      </c>
      <c r="DG27" s="103">
        <f t="shared" si="38"/>
        <v>-1985</v>
      </c>
      <c r="DH27" s="103" t="str">
        <f t="shared" si="39"/>
        <v>Nữ dưới 30</v>
      </c>
      <c r="DI27" s="103"/>
      <c r="DJ27" s="103"/>
      <c r="DK27" s="109" t="str">
        <f t="shared" si="40"/>
        <v>Đến 30</v>
      </c>
      <c r="DL27" s="117" t="str">
        <f t="shared" si="41"/>
        <v>--</v>
      </c>
      <c r="DM27" s="101"/>
      <c r="DN27" s="99"/>
      <c r="DO27" s="136"/>
      <c r="DP27" s="101"/>
      <c r="DQ27" s="119"/>
      <c r="DR27" s="125"/>
      <c r="DS27" s="126"/>
      <c r="DT27" s="127"/>
      <c r="DU27" s="128"/>
      <c r="DV27" s="102" t="s">
        <v>56</v>
      </c>
      <c r="DW27" s="105" t="s">
        <v>215</v>
      </c>
      <c r="DX27" s="106" t="s">
        <v>56</v>
      </c>
      <c r="DY27" s="141" t="s">
        <v>43</v>
      </c>
      <c r="DZ27" s="106" t="s">
        <v>53</v>
      </c>
      <c r="EA27" s="129" t="s">
        <v>45</v>
      </c>
      <c r="EB27" s="106" t="s">
        <v>53</v>
      </c>
      <c r="EC27" s="130">
        <v>2012</v>
      </c>
      <c r="ED27" s="105">
        <f t="shared" si="42"/>
        <v>0</v>
      </c>
      <c r="EE27" s="106" t="str">
        <f t="shared" si="43"/>
        <v>- - -</v>
      </c>
      <c r="EF27" s="141" t="s">
        <v>43</v>
      </c>
      <c r="EG27" s="106" t="s">
        <v>53</v>
      </c>
      <c r="EH27" s="129" t="s">
        <v>45</v>
      </c>
      <c r="EI27" s="99" t="s">
        <v>53</v>
      </c>
      <c r="EJ27" s="116">
        <v>2012</v>
      </c>
      <c r="EK27" s="131"/>
      <c r="EL27" s="128" t="str">
        <f t="shared" si="44"/>
        <v>- - -</v>
      </c>
      <c r="EM27" s="132" t="str">
        <f t="shared" si="45"/>
        <v>---</v>
      </c>
      <c r="FP27" s="863"/>
      <c r="FQ27" s="863"/>
      <c r="FR27" s="863"/>
      <c r="FS27" s="863"/>
      <c r="FT27" s="863"/>
      <c r="FU27" s="863"/>
      <c r="FV27" s="863"/>
      <c r="FW27" s="863"/>
      <c r="FX27" s="863"/>
      <c r="FY27" s="863"/>
      <c r="FZ27" s="863"/>
      <c r="GA27" s="863"/>
      <c r="GB27" s="863"/>
      <c r="GC27" s="863"/>
      <c r="GD27" s="863"/>
      <c r="GE27" s="863"/>
      <c r="GF27" s="863"/>
      <c r="GG27" s="863"/>
      <c r="GH27" s="863"/>
      <c r="GI27" s="863"/>
      <c r="GJ27" s="863"/>
      <c r="GK27" s="863"/>
      <c r="GL27" s="863"/>
      <c r="GM27" s="863"/>
      <c r="GN27" s="863"/>
      <c r="GO27" s="863"/>
      <c r="GP27" s="863"/>
      <c r="GQ27" s="863"/>
      <c r="GR27" s="863"/>
      <c r="GS27" s="863"/>
      <c r="GT27" s="863"/>
    </row>
    <row r="28" spans="1:202" s="132" customFormat="1" ht="42" customHeight="1" x14ac:dyDescent="0.2">
      <c r="A28" s="547">
        <v>634</v>
      </c>
      <c r="B28" s="322">
        <v>12</v>
      </c>
      <c r="C28" s="99"/>
      <c r="D28" s="99" t="str">
        <f t="shared" si="0"/>
        <v>Bà</v>
      </c>
      <c r="E28" s="549" t="s">
        <v>216</v>
      </c>
      <c r="F28" s="550" t="s">
        <v>64</v>
      </c>
      <c r="G28" s="551" t="s">
        <v>163</v>
      </c>
      <c r="H28" s="551" t="s">
        <v>53</v>
      </c>
      <c r="I28" s="551" t="s">
        <v>49</v>
      </c>
      <c r="J28" s="98" t="s">
        <v>53</v>
      </c>
      <c r="K28" s="98" t="s">
        <v>217</v>
      </c>
      <c r="L28" s="98" t="s">
        <v>83</v>
      </c>
      <c r="M28" s="98" t="str">
        <f t="shared" si="1"/>
        <v>VC</v>
      </c>
      <c r="N28" s="98"/>
      <c r="O28" s="98" t="e">
        <f t="shared" si="2"/>
        <v>#N/A</v>
      </c>
      <c r="P28" s="98"/>
      <c r="Q28" s="549" t="e">
        <f>VLOOKUP(P28,'[1]- DLiêu Gốc (Không sửa)'!$C$2:$H$116,2,0)</f>
        <v>#N/A</v>
      </c>
      <c r="R28" s="580" t="s">
        <v>218</v>
      </c>
      <c r="S28" s="552" t="s">
        <v>150</v>
      </c>
      <c r="T28" s="553" t="str">
        <f>VLOOKUP(Y28,'[2]- DLiêu Gốc -'!$C$2:$H$60,5,0)</f>
        <v>A1</v>
      </c>
      <c r="U28" s="553" t="str">
        <f>VLOOKUP(Y28,'[2]- DLiêu Gốc -'!$C$2:$H$60,6,0)</f>
        <v>- - -</v>
      </c>
      <c r="V28" s="554" t="s">
        <v>73</v>
      </c>
      <c r="W28" s="555" t="str">
        <f t="shared" si="3"/>
        <v>Giảng viên (hạng III)</v>
      </c>
      <c r="X28" s="556" t="str">
        <f t="shared" si="4"/>
        <v>V.07.01.03</v>
      </c>
      <c r="Y28" s="557" t="s">
        <v>77</v>
      </c>
      <c r="Z28" s="556" t="str">
        <f>VLOOKUP(Y28,'[2]- DLiêu Gốc -'!$C$1:$H$132,2,0)</f>
        <v>V.07.01.03</v>
      </c>
      <c r="AA28" s="558" t="str">
        <f t="shared" si="5"/>
        <v>Lương</v>
      </c>
      <c r="AB28" s="559">
        <v>2</v>
      </c>
      <c r="AC28" s="470" t="str">
        <f t="shared" si="6"/>
        <v>/</v>
      </c>
      <c r="AD28" s="51">
        <f t="shared" si="7"/>
        <v>9</v>
      </c>
      <c r="AE28" s="560">
        <f t="shared" si="8"/>
        <v>2.67</v>
      </c>
      <c r="AF28" s="561"/>
      <c r="AG28" s="51"/>
      <c r="AH28" s="562" t="s">
        <v>43</v>
      </c>
      <c r="AI28" s="563" t="s">
        <v>53</v>
      </c>
      <c r="AJ28" s="564" t="s">
        <v>45</v>
      </c>
      <c r="AK28" s="838" t="s">
        <v>53</v>
      </c>
      <c r="AL28" s="565">
        <v>2015</v>
      </c>
      <c r="AM28" s="566"/>
      <c r="AN28" s="567"/>
      <c r="AO28" s="568">
        <f t="shared" si="9"/>
        <v>3</v>
      </c>
      <c r="AP28" s="569" t="str">
        <f t="shared" si="10"/>
        <v>/</v>
      </c>
      <c r="AQ28" s="570">
        <f t="shared" si="11"/>
        <v>9</v>
      </c>
      <c r="AR28" s="578">
        <f t="shared" si="12"/>
        <v>3</v>
      </c>
      <c r="AS28" s="51"/>
      <c r="AT28" s="571" t="s">
        <v>43</v>
      </c>
      <c r="AU28" s="572" t="s">
        <v>53</v>
      </c>
      <c r="AV28" s="573" t="s">
        <v>45</v>
      </c>
      <c r="AW28" s="574" t="s">
        <v>53</v>
      </c>
      <c r="AX28" s="575">
        <v>2018</v>
      </c>
      <c r="AY28" s="579"/>
      <c r="AZ28" s="125">
        <v>5</v>
      </c>
      <c r="BA28" s="107">
        <f t="shared" si="13"/>
        <v>3</v>
      </c>
      <c r="BB28" s="576">
        <f t="shared" si="14"/>
        <v>-24221</v>
      </c>
      <c r="BC28" s="104">
        <f>VLOOKUP(Y28,'[2]- DLiêu Gốc -'!$C$1:$F$60,3,0)</f>
        <v>2.34</v>
      </c>
      <c r="BD28" s="104">
        <f>VLOOKUP(Y28,'[2]- DLiêu Gốc -'!$C$1:$F$60,4,0)</f>
        <v>0.33</v>
      </c>
      <c r="BE28" s="109" t="str">
        <f t="shared" si="15"/>
        <v>o-o-o</v>
      </c>
      <c r="BF28" s="110"/>
      <c r="BG28" s="212"/>
      <c r="BH28" s="112"/>
      <c r="BI28" s="410"/>
      <c r="BJ28" s="211"/>
      <c r="BK28" s="410"/>
      <c r="BL28" s="135"/>
      <c r="BM28" s="108"/>
      <c r="BN28" s="147"/>
      <c r="BO28" s="111"/>
      <c r="BP28" s="548"/>
      <c r="BQ28" s="112"/>
      <c r="BR28" s="410"/>
      <c r="BS28" s="211"/>
      <c r="BT28" s="410"/>
      <c r="BU28" s="135"/>
      <c r="BV28" s="137"/>
      <c r="BW28" s="116"/>
      <c r="BX28" s="577" t="str">
        <f t="shared" si="16"/>
        <v>- - -</v>
      </c>
      <c r="BY28" s="109" t="str">
        <f>IF(BG28&gt;3,(($BF$2-BV28)*12+($BF$4-BT28)-BN28),"- - -")</f>
        <v>- - -</v>
      </c>
      <c r="BZ28" s="100" t="str">
        <f t="shared" si="18"/>
        <v>Chánh Văn phòng Học viện, Trưởng Ban Tổ chức - Cán bộ, Trưởng Phân viện Học viện Hành chính Quốc gia khu vực Tây Nguyên</v>
      </c>
      <c r="CA28" s="113" t="str">
        <f t="shared" si="19"/>
        <v>A</v>
      </c>
      <c r="CB28" s="114" t="str">
        <f t="shared" si="20"/>
        <v>=&gt; s</v>
      </c>
      <c r="CC28" s="103">
        <f t="shared" si="21"/>
        <v>24245</v>
      </c>
      <c r="CD28" s="99" t="str">
        <f t="shared" si="22"/>
        <v>---</v>
      </c>
      <c r="CE28" s="99"/>
      <c r="CF28" s="164"/>
      <c r="CG28" s="99"/>
      <c r="CH28" s="115"/>
      <c r="CI28" s="99" t="str">
        <f t="shared" si="23"/>
        <v>- - -</v>
      </c>
      <c r="CJ28" s="116" t="str">
        <f t="shared" si="24"/>
        <v>- - -</v>
      </c>
      <c r="CK28" s="117"/>
      <c r="CL28" s="118"/>
      <c r="CM28" s="117"/>
      <c r="CN28" s="119"/>
      <c r="CO28" s="116" t="str">
        <f t="shared" si="25"/>
        <v>CN</v>
      </c>
      <c r="CP28" s="117">
        <v>6</v>
      </c>
      <c r="CQ28" s="118">
        <v>2013</v>
      </c>
      <c r="CR28" s="117"/>
      <c r="CS28" s="119"/>
      <c r="CT28" s="120" t="str">
        <f>IF(AND(CU28="Hưu",AB28&lt;(AD28-1),DB28&gt;0,DB28&lt;18,OR(BF28&lt;4,AND(BF28&gt;3,OR(BY28&lt;3,BY28&gt;5)))),"Lg Sớm",IF(AND(CU28="Hưu",AB28&gt;(AD28-2),OR(BD28=0.33,BD28=0.34),OR(BF28&lt;4,AND(BF28&gt;3,OR(BY28&lt;3,BY28&gt;5)))),"Nâng Ngạch",IF(AND(CU28="Hưu",BA28=1,DB28&gt;2,DB28&lt;6,OR(BF28&lt;4,AND(BF28&gt;3,OR(BY28&lt;3,BY28&gt;5)))),"Nâng PcVK cùng QĐ",IF(AND(CU28="Hưu",BF28&gt;3,BY28&gt;2,BY28&lt;6,AB28&lt;(AD28-1),DB28&gt;17,OR(BA28&gt;1,AND(BA28=1,OR(DB28&lt;3,DB28&gt;5)))),"Nâng PcNG cùng QĐ",IF(AND(CU28="Hưu",AB28&lt;(AD28-1),DB28&gt;0,DB28&lt;18,BF28&gt;3,BY28&gt;2,BY28&lt;6),"Nâng Lg Sớm +(PcNG cùng QĐ)",IF(AND(CU28="Hưu",AB28&gt;(AD28-2),OR(BD28=0.33,BD28=0.34),BF28&gt;3,BY28&gt;2,BY28&lt;6),"Nâng Ngạch +(PcNG cùng QĐ)",IF(AND(CU28="Hưu",BA28=1,DB28&gt;2,DB28&lt;6,BF28&gt;3,BY28&gt;2,BY28&lt;6),"Nâng (PcVK +PcNG) cùng QĐ",("---"))))))))</f>
        <v>---</v>
      </c>
      <c r="CU28" s="148" t="str">
        <f t="shared" si="27"/>
        <v>/-/ /-/</v>
      </c>
      <c r="CV28" s="121">
        <f t="shared" si="28"/>
        <v>8</v>
      </c>
      <c r="CW28" s="122">
        <f t="shared" si="29"/>
        <v>2041</v>
      </c>
      <c r="CX28" s="121">
        <f t="shared" si="30"/>
        <v>5</v>
      </c>
      <c r="CY28" s="122">
        <f t="shared" si="31"/>
        <v>2041</v>
      </c>
      <c r="CZ28" s="121">
        <f t="shared" si="32"/>
        <v>2</v>
      </c>
      <c r="DA28" s="122">
        <f t="shared" si="33"/>
        <v>2041</v>
      </c>
      <c r="DB28" s="123" t="str">
        <f t="shared" si="34"/>
        <v>- - -</v>
      </c>
      <c r="DC28" s="124" t="str">
        <f t="shared" si="35"/>
        <v>. .</v>
      </c>
      <c r="DD28" s="124"/>
      <c r="DE28" s="103">
        <f t="shared" si="36"/>
        <v>660</v>
      </c>
      <c r="DF28" s="103">
        <f t="shared" si="37"/>
        <v>-23827</v>
      </c>
      <c r="DG28" s="103">
        <f t="shared" si="38"/>
        <v>-1986</v>
      </c>
      <c r="DH28" s="103" t="str">
        <f t="shared" si="39"/>
        <v>Nữ dưới 30</v>
      </c>
      <c r="DI28" s="103"/>
      <c r="DJ28" s="103"/>
      <c r="DK28" s="109" t="str">
        <f t="shared" si="40"/>
        <v>Đến 30</v>
      </c>
      <c r="DL28" s="117" t="str">
        <f t="shared" si="41"/>
        <v>TD</v>
      </c>
      <c r="DM28" s="101">
        <v>2012</v>
      </c>
      <c r="DN28" s="99" t="s">
        <v>169</v>
      </c>
      <c r="DO28" s="136">
        <v>6</v>
      </c>
      <c r="DP28" s="101">
        <v>2013</v>
      </c>
      <c r="DQ28" s="119"/>
      <c r="DR28" s="125"/>
      <c r="DS28" s="126"/>
      <c r="DT28" s="127"/>
      <c r="DU28" s="128"/>
      <c r="DV28" s="102" t="s">
        <v>218</v>
      </c>
      <c r="DW28" s="105" t="s">
        <v>219</v>
      </c>
      <c r="DX28" s="106" t="s">
        <v>218</v>
      </c>
      <c r="DY28" s="141" t="s">
        <v>44</v>
      </c>
      <c r="DZ28" s="106" t="s">
        <v>53</v>
      </c>
      <c r="EA28" s="129" t="s">
        <v>45</v>
      </c>
      <c r="EB28" s="106" t="s">
        <v>53</v>
      </c>
      <c r="EC28" s="130" t="s">
        <v>62</v>
      </c>
      <c r="ED28" s="105">
        <f t="shared" si="42"/>
        <v>1</v>
      </c>
      <c r="EE28" s="106" t="str">
        <f t="shared" si="43"/>
        <v>Sửa</v>
      </c>
      <c r="EF28" s="141" t="s">
        <v>43</v>
      </c>
      <c r="EG28" s="106" t="s">
        <v>53</v>
      </c>
      <c r="EH28" s="129" t="s">
        <v>45</v>
      </c>
      <c r="EI28" s="99" t="s">
        <v>53</v>
      </c>
      <c r="EJ28" s="116" t="s">
        <v>62</v>
      </c>
      <c r="EK28" s="131"/>
      <c r="EL28" s="128" t="str">
        <f t="shared" si="44"/>
        <v>- - -</v>
      </c>
      <c r="EM28" s="132" t="str">
        <f t="shared" si="45"/>
        <v>---</v>
      </c>
      <c r="FP28" s="863"/>
      <c r="FQ28" s="863"/>
      <c r="FR28" s="863"/>
      <c r="FS28" s="863"/>
      <c r="FT28" s="863"/>
      <c r="FU28" s="863"/>
      <c r="FV28" s="863"/>
      <c r="FW28" s="863"/>
      <c r="FX28" s="863"/>
      <c r="FY28" s="863"/>
      <c r="FZ28" s="863"/>
      <c r="GA28" s="863"/>
      <c r="GB28" s="863"/>
      <c r="GC28" s="863"/>
      <c r="GD28" s="863"/>
      <c r="GE28" s="863"/>
      <c r="GF28" s="863"/>
      <c r="GG28" s="863"/>
      <c r="GH28" s="863"/>
      <c r="GI28" s="863"/>
      <c r="GJ28" s="863"/>
      <c r="GK28" s="863"/>
      <c r="GL28" s="863"/>
      <c r="GM28" s="863"/>
      <c r="GN28" s="863"/>
      <c r="GO28" s="863"/>
      <c r="GP28" s="863"/>
      <c r="GQ28" s="863"/>
      <c r="GR28" s="863"/>
      <c r="GS28" s="863"/>
      <c r="GT28" s="863"/>
    </row>
    <row r="29" spans="1:202" s="132" customFormat="1" ht="42" customHeight="1" x14ac:dyDescent="0.2">
      <c r="A29" s="547">
        <v>647</v>
      </c>
      <c r="B29" s="322">
        <v>13</v>
      </c>
      <c r="C29" s="99"/>
      <c r="D29" s="99" t="str">
        <f t="shared" si="0"/>
        <v>Ông</v>
      </c>
      <c r="E29" s="549" t="s">
        <v>220</v>
      </c>
      <c r="F29" s="550" t="s">
        <v>63</v>
      </c>
      <c r="G29" s="551" t="s">
        <v>221</v>
      </c>
      <c r="H29" s="551" t="s">
        <v>53</v>
      </c>
      <c r="I29" s="551" t="s">
        <v>46</v>
      </c>
      <c r="J29" s="98" t="s">
        <v>53</v>
      </c>
      <c r="K29" s="98" t="s">
        <v>222</v>
      </c>
      <c r="L29" s="98" t="s">
        <v>83</v>
      </c>
      <c r="M29" s="98" t="str">
        <f t="shared" si="1"/>
        <v>VC</v>
      </c>
      <c r="N29" s="98"/>
      <c r="O29" s="98" t="str">
        <f t="shared" si="2"/>
        <v>CVụ</v>
      </c>
      <c r="P29" s="98" t="s">
        <v>132</v>
      </c>
      <c r="Q29" s="549" t="str">
        <f>VLOOKUP(P29,'[1]- DLiêu Gốc (Không sửa)'!$C$2:$H$116,2,0)</f>
        <v>0,4</v>
      </c>
      <c r="R29" s="580" t="s">
        <v>56</v>
      </c>
      <c r="S29" s="552" t="s">
        <v>150</v>
      </c>
      <c r="T29" s="553" t="str">
        <f>VLOOKUP(Y29,'[2]- DLiêu Gốc -'!$C$2:$H$60,5,0)</f>
        <v>A2</v>
      </c>
      <c r="U29" s="553" t="str">
        <f>VLOOKUP(Y29,'[2]- DLiêu Gốc -'!$C$2:$H$60,6,0)</f>
        <v>A2.1</v>
      </c>
      <c r="V29" s="554" t="s">
        <v>74</v>
      </c>
      <c r="W29" s="555" t="str">
        <f t="shared" si="3"/>
        <v>Chuyên viên chính</v>
      </c>
      <c r="X29" s="556" t="str">
        <f t="shared" si="4"/>
        <v>01.002</v>
      </c>
      <c r="Y29" s="557" t="s">
        <v>181</v>
      </c>
      <c r="Z29" s="556" t="str">
        <f>VLOOKUP(Y29,'[2]- DLiêu Gốc -'!$C$1:$H$132,2,0)</f>
        <v>01.002</v>
      </c>
      <c r="AA29" s="558" t="str">
        <f t="shared" si="5"/>
        <v>Lương</v>
      </c>
      <c r="AB29" s="559">
        <v>6</v>
      </c>
      <c r="AC29" s="470" t="str">
        <f t="shared" si="6"/>
        <v>/</v>
      </c>
      <c r="AD29" s="51">
        <f t="shared" si="7"/>
        <v>8</v>
      </c>
      <c r="AE29" s="560">
        <f t="shared" si="8"/>
        <v>6.1000000000000005</v>
      </c>
      <c r="AF29" s="561"/>
      <c r="AG29" s="51"/>
      <c r="AH29" s="562" t="s">
        <v>43</v>
      </c>
      <c r="AI29" s="563" t="s">
        <v>53</v>
      </c>
      <c r="AJ29" s="564" t="s">
        <v>45</v>
      </c>
      <c r="AK29" s="838" t="s">
        <v>53</v>
      </c>
      <c r="AL29" s="565">
        <v>2015</v>
      </c>
      <c r="AM29" s="566"/>
      <c r="AN29" s="567"/>
      <c r="AO29" s="568">
        <f t="shared" si="9"/>
        <v>7</v>
      </c>
      <c r="AP29" s="569" t="str">
        <f t="shared" si="10"/>
        <v>/</v>
      </c>
      <c r="AQ29" s="570">
        <f t="shared" si="11"/>
        <v>8</v>
      </c>
      <c r="AR29" s="578">
        <f t="shared" si="12"/>
        <v>6.44</v>
      </c>
      <c r="AS29" s="51"/>
      <c r="AT29" s="571" t="s">
        <v>43</v>
      </c>
      <c r="AU29" s="572" t="s">
        <v>53</v>
      </c>
      <c r="AV29" s="573" t="s">
        <v>45</v>
      </c>
      <c r="AW29" s="574" t="s">
        <v>53</v>
      </c>
      <c r="AX29" s="575">
        <v>2018</v>
      </c>
      <c r="AY29" s="579"/>
      <c r="AZ29" s="125">
        <v>5</v>
      </c>
      <c r="BA29" s="107">
        <f t="shared" si="13"/>
        <v>3</v>
      </c>
      <c r="BB29" s="576">
        <f t="shared" si="14"/>
        <v>-24221</v>
      </c>
      <c r="BC29" s="104">
        <f>VLOOKUP(Y29,'[2]- DLiêu Gốc -'!$C$1:$F$60,3,0)</f>
        <v>4.4000000000000004</v>
      </c>
      <c r="BD29" s="104">
        <f>VLOOKUP(Y29,'[2]- DLiêu Gốc -'!$C$1:$F$60,4,0)</f>
        <v>0.34</v>
      </c>
      <c r="BE29" s="109" t="str">
        <f t="shared" si="15"/>
        <v>o-o-o</v>
      </c>
      <c r="BF29" s="110"/>
      <c r="BG29" s="212"/>
      <c r="BH29" s="112"/>
      <c r="BI29" s="410"/>
      <c r="BJ29" s="211"/>
      <c r="BK29" s="410"/>
      <c r="BL29" s="135"/>
      <c r="BM29" s="108"/>
      <c r="BN29" s="147"/>
      <c r="BO29" s="111"/>
      <c r="BP29" s="548"/>
      <c r="BQ29" s="112"/>
      <c r="BR29" s="410"/>
      <c r="BS29" s="211"/>
      <c r="BT29" s="410"/>
      <c r="BU29" s="135"/>
      <c r="BV29" s="137"/>
      <c r="BW29" s="116"/>
      <c r="BX29" s="577" t="str">
        <f t="shared" si="16"/>
        <v>- - -</v>
      </c>
      <c r="BY29" s="109" t="str">
        <f>IF(BG29&gt;3,(($BF$2-BV29)*12+($BF$4-BT29)-BN29),"- - -")</f>
        <v>- - -</v>
      </c>
      <c r="BZ29" s="100" t="str">
        <f t="shared" si="18"/>
        <v>Chánh Văn phòng Học viện, Trưởng Ban Tổ chức - Cán bộ, Trưởng Phân viện Học viện Hành chính Quốc gia khu vực Tây Nguyên</v>
      </c>
      <c r="CA29" s="113" t="str">
        <f t="shared" si="19"/>
        <v>A</v>
      </c>
      <c r="CB29" s="114" t="str">
        <f t="shared" si="20"/>
        <v>=&gt; s</v>
      </c>
      <c r="CC29" s="103">
        <f t="shared" si="21"/>
        <v>24245</v>
      </c>
      <c r="CD29" s="99" t="str">
        <f t="shared" si="22"/>
        <v>---</v>
      </c>
      <c r="CE29" s="99"/>
      <c r="CF29" s="164"/>
      <c r="CG29" s="99"/>
      <c r="CH29" s="115"/>
      <c r="CI29" s="99" t="str">
        <f t="shared" si="23"/>
        <v>- - -</v>
      </c>
      <c r="CJ29" s="116" t="str">
        <f t="shared" si="24"/>
        <v>- - -</v>
      </c>
      <c r="CK29" s="117"/>
      <c r="CL29" s="118"/>
      <c r="CM29" s="117"/>
      <c r="CN29" s="119"/>
      <c r="CO29" s="116" t="str">
        <f t="shared" si="25"/>
        <v>- - -</v>
      </c>
      <c r="CP29" s="117"/>
      <c r="CQ29" s="118"/>
      <c r="CR29" s="117"/>
      <c r="CS29" s="119"/>
      <c r="CT29" s="120" t="str">
        <f>IF(AND(CU29="Hưu",AB29&lt;(AD29-1),DB29&gt;0,DB29&lt;18,OR(BF29&lt;4,AND(BF29&gt;3,OR(BY29&lt;3,BY29&gt;5)))),"Lg Sớm",IF(AND(CU29="Hưu",AB29&gt;(AD29-2),OR(BD29=0.33,BD29=0.34),OR(BF29&lt;4,AND(BF29&gt;3,OR(BY29&lt;3,BY29&gt;5)))),"Nâng Ngạch",IF(AND(CU29="Hưu",BA29=1,DB29&gt;2,DB29&lt;6,OR(BF29&lt;4,AND(BF29&gt;3,OR(BY29&lt;3,BY29&gt;5)))),"Nâng PcVK cùng QĐ",IF(AND(CU29="Hưu",BF29&gt;3,BY29&gt;2,BY29&lt;6,AB29&lt;(AD29-1),DB29&gt;17,OR(BA29&gt;1,AND(BA29=1,OR(DB29&lt;3,DB29&gt;5)))),"Nâng PcNG cùng QĐ",IF(AND(CU29="Hưu",AB29&lt;(AD29-1),DB29&gt;0,DB29&lt;18,BF29&gt;3,BY29&gt;2,BY29&lt;6),"Nâng Lg Sớm +(PcNG cùng QĐ)",IF(AND(CU29="Hưu",AB29&gt;(AD29-2),OR(BD29=0.33,BD29=0.34),BF29&gt;3,BY29&gt;2,BY29&lt;6),"Nâng Ngạch +(PcNG cùng QĐ)",IF(AND(CU29="Hưu",BA29=1,DB29&gt;2,DB29&lt;6,BF29&gt;3,BY29&gt;2,BY29&lt;6),"Nâng (PcVK +PcNG) cùng QĐ",("---"))))))))</f>
        <v>---</v>
      </c>
      <c r="CU29" s="148" t="str">
        <f t="shared" si="27"/>
        <v>/-/ /-/</v>
      </c>
      <c r="CV29" s="121">
        <f t="shared" si="28"/>
        <v>7</v>
      </c>
      <c r="CW29" s="122">
        <f t="shared" si="29"/>
        <v>2019</v>
      </c>
      <c r="CX29" s="121">
        <f t="shared" si="30"/>
        <v>4</v>
      </c>
      <c r="CY29" s="122">
        <f t="shared" si="31"/>
        <v>2019</v>
      </c>
      <c r="CZ29" s="121">
        <f t="shared" si="32"/>
        <v>1</v>
      </c>
      <c r="DA29" s="122">
        <f t="shared" si="33"/>
        <v>2019</v>
      </c>
      <c r="DB29" s="123" t="str">
        <f t="shared" si="34"/>
        <v>- - -</v>
      </c>
      <c r="DC29" s="124" t="str">
        <f t="shared" si="35"/>
        <v>. .</v>
      </c>
      <c r="DD29" s="124"/>
      <c r="DE29" s="103">
        <f t="shared" si="36"/>
        <v>720</v>
      </c>
      <c r="DF29" s="103">
        <f t="shared" si="37"/>
        <v>-23502</v>
      </c>
      <c r="DG29" s="103">
        <f t="shared" si="38"/>
        <v>-1959</v>
      </c>
      <c r="DH29" s="103" t="str">
        <f t="shared" si="39"/>
        <v>Nam dưới 35</v>
      </c>
      <c r="DI29" s="103"/>
      <c r="DJ29" s="103"/>
      <c r="DK29" s="109" t="str">
        <f t="shared" si="40"/>
        <v>Đến 30</v>
      </c>
      <c r="DL29" s="117" t="str">
        <f t="shared" si="41"/>
        <v>--</v>
      </c>
      <c r="DM29" s="101"/>
      <c r="DN29" s="99"/>
      <c r="DO29" s="136"/>
      <c r="DP29" s="101"/>
      <c r="DQ29" s="119"/>
      <c r="DR29" s="125"/>
      <c r="DS29" s="126"/>
      <c r="DT29" s="127"/>
      <c r="DU29" s="128"/>
      <c r="DV29" s="102" t="s">
        <v>56</v>
      </c>
      <c r="DW29" s="105" t="s">
        <v>219</v>
      </c>
      <c r="DX29" s="106" t="s">
        <v>56</v>
      </c>
      <c r="DY29" s="141" t="s">
        <v>43</v>
      </c>
      <c r="DZ29" s="106" t="s">
        <v>53</v>
      </c>
      <c r="EA29" s="129" t="s">
        <v>45</v>
      </c>
      <c r="EB29" s="106" t="s">
        <v>53</v>
      </c>
      <c r="EC29" s="130">
        <v>2012</v>
      </c>
      <c r="ED29" s="105">
        <f t="shared" si="42"/>
        <v>0</v>
      </c>
      <c r="EE29" s="106" t="str">
        <f t="shared" si="43"/>
        <v>- - -</v>
      </c>
      <c r="EF29" s="141" t="s">
        <v>43</v>
      </c>
      <c r="EG29" s="106" t="s">
        <v>53</v>
      </c>
      <c r="EH29" s="129" t="s">
        <v>45</v>
      </c>
      <c r="EI29" s="99" t="s">
        <v>53</v>
      </c>
      <c r="EJ29" s="116">
        <v>2012</v>
      </c>
      <c r="EK29" s="131"/>
      <c r="EL29" s="128" t="str">
        <f t="shared" si="44"/>
        <v>- - -</v>
      </c>
      <c r="EM29" s="132" t="str">
        <f t="shared" si="45"/>
        <v>---</v>
      </c>
      <c r="FP29" s="863"/>
      <c r="FQ29" s="863"/>
      <c r="FR29" s="863"/>
      <c r="FS29" s="863"/>
      <c r="FT29" s="863"/>
      <c r="FU29" s="863"/>
      <c r="FV29" s="863"/>
      <c r="FW29" s="863"/>
      <c r="FX29" s="863"/>
      <c r="FY29" s="863"/>
      <c r="FZ29" s="863"/>
      <c r="GA29" s="863"/>
      <c r="GB29" s="863"/>
      <c r="GC29" s="863"/>
      <c r="GD29" s="863"/>
      <c r="GE29" s="863"/>
      <c r="GF29" s="863"/>
      <c r="GG29" s="863"/>
      <c r="GH29" s="863"/>
      <c r="GI29" s="863"/>
      <c r="GJ29" s="863"/>
      <c r="GK29" s="863"/>
      <c r="GL29" s="863"/>
      <c r="GM29" s="863"/>
      <c r="GN29" s="863"/>
      <c r="GO29" s="863"/>
      <c r="GP29" s="863"/>
      <c r="GQ29" s="863"/>
      <c r="GR29" s="863"/>
      <c r="GS29" s="863"/>
      <c r="GT29" s="863"/>
    </row>
    <row r="30" spans="1:202" s="132" customFormat="1" ht="42" customHeight="1" x14ac:dyDescent="0.2">
      <c r="A30" s="547">
        <v>699</v>
      </c>
      <c r="B30" s="322">
        <v>14</v>
      </c>
      <c r="C30" s="99"/>
      <c r="D30" s="99" t="str">
        <f t="shared" si="0"/>
        <v>Bà</v>
      </c>
      <c r="E30" s="549" t="s">
        <v>223</v>
      </c>
      <c r="F30" s="550" t="s">
        <v>64</v>
      </c>
      <c r="G30" s="551" t="s">
        <v>34</v>
      </c>
      <c r="H30" s="551" t="s">
        <v>53</v>
      </c>
      <c r="I30" s="551" t="s">
        <v>57</v>
      </c>
      <c r="J30" s="98" t="s">
        <v>53</v>
      </c>
      <c r="K30" s="98">
        <v>1983</v>
      </c>
      <c r="L30" s="98" t="s">
        <v>81</v>
      </c>
      <c r="M30" s="98" t="str">
        <f t="shared" si="1"/>
        <v>NLĐ</v>
      </c>
      <c r="N30" s="98"/>
      <c r="O30" s="98" t="e">
        <f t="shared" si="2"/>
        <v>#N/A</v>
      </c>
      <c r="P30" s="98"/>
      <c r="Q30" s="549" t="e">
        <f>VLOOKUP(P30,'[1]- DLiêu Gốc (Không sửa)'!$C$2:$H$116,2,0)</f>
        <v>#N/A</v>
      </c>
      <c r="R30" s="580" t="s">
        <v>224</v>
      </c>
      <c r="S30" s="552" t="s">
        <v>154</v>
      </c>
      <c r="T30" s="553" t="str">
        <f>VLOOKUP(Y30,'[2]- DLiêu Gốc -'!$C$2:$H$60,5,0)</f>
        <v>A1</v>
      </c>
      <c r="U30" s="553" t="str">
        <f>VLOOKUP(Y30,'[2]- DLiêu Gốc -'!$C$2:$H$60,6,0)</f>
        <v>- - -</v>
      </c>
      <c r="V30" s="554" t="s">
        <v>74</v>
      </c>
      <c r="W30" s="555" t="str">
        <f t="shared" si="3"/>
        <v>Chuyên viên</v>
      </c>
      <c r="X30" s="556" t="str">
        <f t="shared" si="4"/>
        <v>01.003</v>
      </c>
      <c r="Y30" s="557" t="s">
        <v>42</v>
      </c>
      <c r="Z30" s="556" t="str">
        <f>VLOOKUP(Y30,'[2]- DLiêu Gốc -'!$C$1:$H$132,2,0)</f>
        <v>01.003</v>
      </c>
      <c r="AA30" s="558" t="str">
        <f t="shared" si="5"/>
        <v>Lương</v>
      </c>
      <c r="AB30" s="559">
        <v>3</v>
      </c>
      <c r="AC30" s="470" t="str">
        <f t="shared" si="6"/>
        <v>/</v>
      </c>
      <c r="AD30" s="51">
        <f t="shared" si="7"/>
        <v>9</v>
      </c>
      <c r="AE30" s="560">
        <f t="shared" si="8"/>
        <v>3</v>
      </c>
      <c r="AF30" s="561"/>
      <c r="AG30" s="51"/>
      <c r="AH30" s="562" t="s">
        <v>43</v>
      </c>
      <c r="AI30" s="563"/>
      <c r="AJ30" s="564" t="s">
        <v>45</v>
      </c>
      <c r="AK30" s="838" t="s">
        <v>53</v>
      </c>
      <c r="AL30" s="565">
        <v>2015</v>
      </c>
      <c r="AM30" s="566"/>
      <c r="AN30" s="567"/>
      <c r="AO30" s="568">
        <f t="shared" si="9"/>
        <v>4</v>
      </c>
      <c r="AP30" s="569" t="str">
        <f t="shared" si="10"/>
        <v>/</v>
      </c>
      <c r="AQ30" s="570">
        <f t="shared" si="11"/>
        <v>9</v>
      </c>
      <c r="AR30" s="578">
        <f t="shared" si="12"/>
        <v>3.33</v>
      </c>
      <c r="AS30" s="51"/>
      <c r="AT30" s="571" t="s">
        <v>43</v>
      </c>
      <c r="AU30" s="572"/>
      <c r="AV30" s="573" t="s">
        <v>45</v>
      </c>
      <c r="AW30" s="574" t="s">
        <v>53</v>
      </c>
      <c r="AX30" s="575">
        <v>2018</v>
      </c>
      <c r="AY30" s="579"/>
      <c r="AZ30" s="125">
        <v>5</v>
      </c>
      <c r="BA30" s="107">
        <f t="shared" si="13"/>
        <v>3</v>
      </c>
      <c r="BB30" s="576">
        <f t="shared" si="14"/>
        <v>-24221</v>
      </c>
      <c r="BC30" s="104">
        <f>VLOOKUP(Y30,'[2]- DLiêu Gốc -'!$C$1:$F$60,3,0)</f>
        <v>2.34</v>
      </c>
      <c r="BD30" s="104">
        <f>VLOOKUP(Y30,'[2]- DLiêu Gốc -'!$C$1:$F$60,4,0)</f>
        <v>0.33</v>
      </c>
      <c r="BE30" s="109" t="str">
        <f t="shared" si="15"/>
        <v>o-o-o</v>
      </c>
      <c r="BF30" s="110"/>
      <c r="BG30" s="212"/>
      <c r="BH30" s="112"/>
      <c r="BI30" s="410"/>
      <c r="BJ30" s="211"/>
      <c r="BK30" s="410"/>
      <c r="BL30" s="135"/>
      <c r="BM30" s="108"/>
      <c r="BN30" s="147"/>
      <c r="BO30" s="111"/>
      <c r="BP30" s="548"/>
      <c r="BQ30" s="112"/>
      <c r="BR30" s="410"/>
      <c r="BS30" s="211"/>
      <c r="BT30" s="410"/>
      <c r="BU30" s="135"/>
      <c r="BV30" s="137"/>
      <c r="BW30" s="116"/>
      <c r="BX30" s="577" t="str">
        <f t="shared" si="16"/>
        <v>- - -</v>
      </c>
      <c r="BY30" s="109" t="str">
        <f>IF(BG30&gt;3,(($BF$2-BV30)*12+($BF$4-BT30)-BN30),"- - -")</f>
        <v>- - -</v>
      </c>
      <c r="BZ30" s="100" t="str">
        <f t="shared" si="18"/>
        <v>Chánh Văn phòng Học viện, Trưởng Ban Tổ chức - Cán bộ, Trưởng Phân viện Học viện Hành chính Quốc gia tại Thành phố Hồ Chí Minh</v>
      </c>
      <c r="CA30" s="113" t="str">
        <f t="shared" si="19"/>
        <v>A</v>
      </c>
      <c r="CB30" s="114" t="str">
        <f t="shared" si="20"/>
        <v>=&gt; s</v>
      </c>
      <c r="CC30" s="103">
        <f t="shared" si="21"/>
        <v>24245</v>
      </c>
      <c r="CD30" s="99" t="str">
        <f t="shared" si="22"/>
        <v>---</v>
      </c>
      <c r="CE30" s="99"/>
      <c r="CF30" s="164"/>
      <c r="CG30" s="99"/>
      <c r="CH30" s="115"/>
      <c r="CI30" s="99" t="str">
        <f t="shared" si="23"/>
        <v>- - -</v>
      </c>
      <c r="CJ30" s="116" t="str">
        <f t="shared" si="24"/>
        <v>- - -</v>
      </c>
      <c r="CK30" s="117"/>
      <c r="CL30" s="118"/>
      <c r="CM30" s="117"/>
      <c r="CN30" s="119"/>
      <c r="CO30" s="116" t="str">
        <f t="shared" si="25"/>
        <v>- - -</v>
      </c>
      <c r="CP30" s="117"/>
      <c r="CQ30" s="118"/>
      <c r="CR30" s="117"/>
      <c r="CS30" s="119"/>
      <c r="CT30" s="120" t="str">
        <f>IF(AND(CU30="Hưu",AB30&lt;(AD30-1),DB30&gt;0,DB30&lt;18,OR(BF30&lt;4,AND(BF30&gt;3,OR(BY30&lt;3,BY30&gt;5)))),"Lg Sớm",IF(AND(CU30="Hưu",AB30&gt;(AD30-2),OR(BD30=0.33,BD30=0.34),OR(BF30&lt;4,AND(BF30&gt;3,OR(BY30&lt;3,BY30&gt;5)))),"Nâng Ngạch",IF(AND(CU30="Hưu",BA30=1,DB30&gt;2,DB30&lt;6,OR(BF30&lt;4,AND(BF30&gt;3,OR(BY30&lt;3,BY30&gt;5)))),"Nâng PcVK cùng QĐ",IF(AND(CU30="Hưu",BF30&gt;3,BY30&gt;2,BY30&lt;6,AB30&lt;(AD30-1),DB30&gt;17,OR(BA30&gt;1,AND(BA30=1,OR(DB30&lt;3,DB30&gt;5)))),"Nâng PcNG cùng QĐ",IF(AND(CU30="Hưu",AB30&lt;(AD30-1),DB30&gt;0,DB30&lt;18,BF30&gt;3,BY30&gt;2,BY30&lt;6),"Nâng Lg Sớm +(PcNG cùng QĐ)",IF(AND(CU30="Hưu",AB30&gt;(AD30-2),OR(BD30=0.33,BD30=0.34),BF30&gt;3,BY30&gt;2,BY30&lt;6),"Nâng Ngạch +(PcNG cùng QĐ)",IF(AND(CU30="Hưu",BA30=1,DB30&gt;2,DB30&lt;6,BF30&gt;3,BY30&gt;2,BY30&lt;6),"Nâng (PcVK +PcNG) cùng QĐ",("---"))))))))</f>
        <v>---</v>
      </c>
      <c r="CU30" s="148" t="str">
        <f t="shared" si="27"/>
        <v>/-/ /-/</v>
      </c>
      <c r="CV30" s="121">
        <f t="shared" si="28"/>
        <v>11</v>
      </c>
      <c r="CW30" s="122">
        <f t="shared" si="29"/>
        <v>2038</v>
      </c>
      <c r="CX30" s="121">
        <f t="shared" si="30"/>
        <v>8</v>
      </c>
      <c r="CY30" s="122">
        <f t="shared" si="31"/>
        <v>2038</v>
      </c>
      <c r="CZ30" s="121">
        <f t="shared" si="32"/>
        <v>5</v>
      </c>
      <c r="DA30" s="122">
        <f t="shared" si="33"/>
        <v>2038</v>
      </c>
      <c r="DB30" s="123" t="str">
        <f t="shared" si="34"/>
        <v>- - -</v>
      </c>
      <c r="DC30" s="124" t="str">
        <f t="shared" si="35"/>
        <v>. .</v>
      </c>
      <c r="DD30" s="124"/>
      <c r="DE30" s="103">
        <f t="shared" si="36"/>
        <v>660</v>
      </c>
      <c r="DF30" s="103">
        <f t="shared" si="37"/>
        <v>-23794</v>
      </c>
      <c r="DG30" s="103">
        <f t="shared" si="38"/>
        <v>-1983</v>
      </c>
      <c r="DH30" s="103" t="str">
        <f t="shared" si="39"/>
        <v>Nữ dưới 30</v>
      </c>
      <c r="DI30" s="103"/>
      <c r="DJ30" s="103"/>
      <c r="DK30" s="109" t="str">
        <f t="shared" si="40"/>
        <v>Đến 30</v>
      </c>
      <c r="DL30" s="117" t="str">
        <f t="shared" si="41"/>
        <v>--</v>
      </c>
      <c r="DM30" s="101"/>
      <c r="DN30" s="99"/>
      <c r="DO30" s="136"/>
      <c r="DP30" s="101"/>
      <c r="DQ30" s="119"/>
      <c r="DR30" s="125"/>
      <c r="DS30" s="126"/>
      <c r="DT30" s="127"/>
      <c r="DU30" s="128"/>
      <c r="DV30" s="102" t="s">
        <v>224</v>
      </c>
      <c r="DW30" s="105" t="s">
        <v>225</v>
      </c>
      <c r="DX30" s="106" t="s">
        <v>224</v>
      </c>
      <c r="DY30" s="141" t="s">
        <v>52</v>
      </c>
      <c r="DZ30" s="106" t="s">
        <v>53</v>
      </c>
      <c r="EA30" s="129" t="s">
        <v>45</v>
      </c>
      <c r="EB30" s="106" t="s">
        <v>53</v>
      </c>
      <c r="EC30" s="130">
        <v>2012</v>
      </c>
      <c r="ED30" s="105">
        <f t="shared" si="42"/>
        <v>14</v>
      </c>
      <c r="EE30" s="106" t="str">
        <f t="shared" si="43"/>
        <v>Sửa</v>
      </c>
      <c r="EF30" s="141" t="s">
        <v>43</v>
      </c>
      <c r="EG30" s="106" t="s">
        <v>53</v>
      </c>
      <c r="EH30" s="129" t="s">
        <v>45</v>
      </c>
      <c r="EI30" s="99" t="s">
        <v>53</v>
      </c>
      <c r="EJ30" s="116">
        <v>2012</v>
      </c>
      <c r="EK30" s="131"/>
      <c r="EL30" s="128" t="str">
        <f t="shared" si="44"/>
        <v>- - -</v>
      </c>
      <c r="EM30" s="132" t="str">
        <f t="shared" si="45"/>
        <v>---</v>
      </c>
      <c r="FP30" s="863"/>
      <c r="FQ30" s="863"/>
      <c r="FR30" s="863"/>
      <c r="FS30" s="863"/>
      <c r="FT30" s="863"/>
      <c r="FU30" s="863"/>
      <c r="FV30" s="863"/>
      <c r="FW30" s="863"/>
      <c r="FX30" s="863"/>
      <c r="FY30" s="863"/>
      <c r="FZ30" s="863"/>
      <c r="GA30" s="863"/>
      <c r="GB30" s="863"/>
      <c r="GC30" s="863"/>
      <c r="GD30" s="863"/>
      <c r="GE30" s="863"/>
      <c r="GF30" s="863"/>
      <c r="GG30" s="863"/>
      <c r="GH30" s="863"/>
      <c r="GI30" s="863"/>
      <c r="GJ30" s="863"/>
      <c r="GK30" s="863"/>
      <c r="GL30" s="863"/>
      <c r="GM30" s="863"/>
      <c r="GN30" s="863"/>
      <c r="GO30" s="863"/>
      <c r="GP30" s="863"/>
      <c r="GQ30" s="863"/>
      <c r="GR30" s="863"/>
      <c r="GS30" s="863"/>
      <c r="GT30" s="863"/>
    </row>
    <row r="31" spans="1:202" s="132" customFormat="1" ht="42" customHeight="1" x14ac:dyDescent="0.2">
      <c r="A31" s="547">
        <v>754</v>
      </c>
      <c r="B31" s="322">
        <v>15</v>
      </c>
      <c r="C31" s="99"/>
      <c r="D31" s="99" t="str">
        <f t="shared" si="0"/>
        <v>Bà</v>
      </c>
      <c r="E31" s="549" t="s">
        <v>226</v>
      </c>
      <c r="F31" s="550" t="s">
        <v>64</v>
      </c>
      <c r="G31" s="551" t="s">
        <v>51</v>
      </c>
      <c r="H31" s="551" t="s">
        <v>53</v>
      </c>
      <c r="I31" s="551" t="s">
        <v>44</v>
      </c>
      <c r="J31" s="98" t="s">
        <v>53</v>
      </c>
      <c r="K31" s="98" t="s">
        <v>227</v>
      </c>
      <c r="L31" s="98" t="s">
        <v>81</v>
      </c>
      <c r="M31" s="98" t="str">
        <f t="shared" si="1"/>
        <v>NLĐ</v>
      </c>
      <c r="N31" s="98"/>
      <c r="O31" s="98" t="e">
        <f t="shared" si="2"/>
        <v>#N/A</v>
      </c>
      <c r="P31" s="98"/>
      <c r="Q31" s="549" t="e">
        <f>VLOOKUP(P31,'[1]- DLiêu Gốc (Không sửa)'!$C$2:$H$116,2,0)</f>
        <v>#N/A</v>
      </c>
      <c r="R31" s="580" t="s">
        <v>152</v>
      </c>
      <c r="S31" s="552" t="s">
        <v>154</v>
      </c>
      <c r="T31" s="553" t="str">
        <f>VLOOKUP(Y31,'[2]- DLiêu Gốc -'!$C$2:$H$60,5,0)</f>
        <v>A1</v>
      </c>
      <c r="U31" s="553" t="str">
        <f>VLOOKUP(Y31,'[2]- DLiêu Gốc -'!$C$2:$H$60,6,0)</f>
        <v>- - -</v>
      </c>
      <c r="V31" s="554" t="s">
        <v>74</v>
      </c>
      <c r="W31" s="555" t="str">
        <f t="shared" si="3"/>
        <v>Kế toán viên</v>
      </c>
      <c r="X31" s="556" t="str">
        <f t="shared" si="4"/>
        <v>06.031</v>
      </c>
      <c r="Y31" s="557" t="s">
        <v>145</v>
      </c>
      <c r="Z31" s="556" t="str">
        <f>VLOOKUP(Y31,'[2]- DLiêu Gốc -'!$C$1:$H$132,2,0)</f>
        <v>06.031</v>
      </c>
      <c r="AA31" s="558" t="str">
        <f t="shared" si="5"/>
        <v>Lương</v>
      </c>
      <c r="AB31" s="559">
        <v>2</v>
      </c>
      <c r="AC31" s="470" t="str">
        <f t="shared" si="6"/>
        <v>/</v>
      </c>
      <c r="AD31" s="51">
        <f t="shared" si="7"/>
        <v>9</v>
      </c>
      <c r="AE31" s="560">
        <f t="shared" si="8"/>
        <v>2.67</v>
      </c>
      <c r="AF31" s="561"/>
      <c r="AG31" s="51"/>
      <c r="AH31" s="562" t="s">
        <v>43</v>
      </c>
      <c r="AI31" s="563" t="s">
        <v>53</v>
      </c>
      <c r="AJ31" s="564" t="s">
        <v>45</v>
      </c>
      <c r="AK31" s="838" t="s">
        <v>53</v>
      </c>
      <c r="AL31" s="565">
        <v>2015</v>
      </c>
      <c r="AM31" s="566"/>
      <c r="AN31" s="567"/>
      <c r="AO31" s="568">
        <f t="shared" si="9"/>
        <v>3</v>
      </c>
      <c r="AP31" s="569" t="str">
        <f t="shared" si="10"/>
        <v>/</v>
      </c>
      <c r="AQ31" s="570">
        <f t="shared" si="11"/>
        <v>9</v>
      </c>
      <c r="AR31" s="578">
        <f t="shared" si="12"/>
        <v>3</v>
      </c>
      <c r="AS31" s="51"/>
      <c r="AT31" s="571" t="s">
        <v>43</v>
      </c>
      <c r="AU31" s="572" t="s">
        <v>53</v>
      </c>
      <c r="AV31" s="573" t="s">
        <v>45</v>
      </c>
      <c r="AW31" s="574" t="s">
        <v>53</v>
      </c>
      <c r="AX31" s="575">
        <v>2018</v>
      </c>
      <c r="AY31" s="839" t="s">
        <v>228</v>
      </c>
      <c r="AZ31" s="125">
        <v>5</v>
      </c>
      <c r="BA31" s="107">
        <f t="shared" si="13"/>
        <v>3</v>
      </c>
      <c r="BB31" s="576">
        <f t="shared" si="14"/>
        <v>-24221</v>
      </c>
      <c r="BC31" s="104">
        <f>VLOOKUP(Y31,'[2]- DLiêu Gốc -'!$C$1:$F$60,3,0)</f>
        <v>2.34</v>
      </c>
      <c r="BD31" s="104">
        <f>VLOOKUP(Y31,'[2]- DLiêu Gốc -'!$C$1:$F$60,4,0)</f>
        <v>0.33</v>
      </c>
      <c r="BE31" s="109" t="str">
        <f t="shared" si="15"/>
        <v>o-o-o</v>
      </c>
      <c r="BF31" s="110"/>
      <c r="BG31" s="212"/>
      <c r="BH31" s="112"/>
      <c r="BI31" s="410"/>
      <c r="BJ31" s="211"/>
      <c r="BK31" s="410"/>
      <c r="BL31" s="135"/>
      <c r="BM31" s="108"/>
      <c r="BN31" s="147"/>
      <c r="BO31" s="111"/>
      <c r="BP31" s="548"/>
      <c r="BQ31" s="112"/>
      <c r="BR31" s="410"/>
      <c r="BS31" s="211"/>
      <c r="BT31" s="410"/>
      <c r="BU31" s="135"/>
      <c r="BV31" s="137"/>
      <c r="BW31" s="116"/>
      <c r="BX31" s="577" t="str">
        <f t="shared" si="16"/>
        <v>- - -</v>
      </c>
      <c r="BY31" s="109" t="str">
        <f>IF(AND(CU31="Hưu",BF31&gt;3),12-(12*(DA31-BU31)+(CZ31-BS31))-BM31,"- - -")</f>
        <v>- - -</v>
      </c>
      <c r="BZ31" s="100" t="str">
        <f t="shared" si="18"/>
        <v>Chánh Văn phòng Học viện, Trưởng Ban Tổ chức - Cán bộ, Trưởng Phân viện Học viện Hành chính Quốc gia tại Thành phố Hồ Chí Minh</v>
      </c>
      <c r="CA31" s="113" t="str">
        <f t="shared" si="19"/>
        <v>A</v>
      </c>
      <c r="CB31" s="114" t="str">
        <f t="shared" si="20"/>
        <v>=&gt; s</v>
      </c>
      <c r="CC31" s="103">
        <f t="shared" si="21"/>
        <v>24245</v>
      </c>
      <c r="CD31" s="99" t="str">
        <f t="shared" si="22"/>
        <v>---</v>
      </c>
      <c r="CE31" s="99"/>
      <c r="CF31" s="164"/>
      <c r="CG31" s="99"/>
      <c r="CH31" s="115"/>
      <c r="CI31" s="99" t="str">
        <f t="shared" si="23"/>
        <v>- - -</v>
      </c>
      <c r="CJ31" s="116" t="str">
        <f t="shared" si="24"/>
        <v>- - -</v>
      </c>
      <c r="CK31" s="117"/>
      <c r="CL31" s="118"/>
      <c r="CM31" s="117"/>
      <c r="CN31" s="119"/>
      <c r="CO31" s="116" t="str">
        <f t="shared" si="25"/>
        <v>CN</v>
      </c>
      <c r="CP31" s="117">
        <v>10</v>
      </c>
      <c r="CQ31" s="118">
        <v>2013</v>
      </c>
      <c r="CR31" s="117"/>
      <c r="CS31" s="119"/>
      <c r="CT31" s="120" t="str">
        <f>IF(AND(CU31="Hưu",AB31&lt;(AD31-1),DB31&gt;0,DB31&lt;18,OR(BF31&lt;4,AND(BF31&gt;3,OR(BY31&lt;3,BY31&gt;5)))),"Lg Sớm",IF(AND(CU31="Hưu",AB31&gt;(AD31-2),OR(BD31=0.33,BD31=0.34),OR(BF31&lt;4,AND(BF31&gt;3,OR(BY31&lt;3,BY31&gt;5)))),"Nâng Ngạch",IF(AND(CU31="Hưu",BA31=1,DB31&gt;2,DB31&lt;6,OR(BF31&lt;4,AND(BF31&gt;3,OR(BY31&lt;3,BY31&gt;5)))),"Nâng PcVK cùng QĐ",IF(AND(CU31="Hưu",BF31&gt;3,BY31&gt;2,BY31&lt;6,AB31&lt;(AD31-1),DB31&gt;17,OR(BA31&gt;1,AND(BA31=1,OR(DB31&lt;3,DB31&gt;5)))),"Nâng PcNG cùng QĐ",IF(AND(CU31="Hưu",AB31&lt;(AD31-1),DB31&gt;0,DB31&lt;18,BF31&gt;3,BY31&gt;2,BY31&lt;6),"Nâng Lg Sớm +(PcNG cùng QĐ)",IF(AND(CU31="Hưu",AB31&gt;(AD31-2),OR(BD31=0.33,BD31=0.34),BF31&gt;3,BY31&gt;2,BY31&lt;6),"Nâng Ngạch +(PcNG cùng QĐ)",IF(AND(CU31="Hưu",BA31=1,DB31&gt;2,DB31&lt;6,BF31&gt;3,BY31&gt;2,BY31&lt;6),"Nâng (PcVK +PcNG) cùng QĐ",("---"))))))))</f>
        <v>---</v>
      </c>
      <c r="CU31" s="148" t="str">
        <f t="shared" si="27"/>
        <v>/-/ /-/</v>
      </c>
      <c r="CV31" s="121">
        <f t="shared" si="28"/>
        <v>3</v>
      </c>
      <c r="CW31" s="122">
        <f t="shared" si="29"/>
        <v>2044</v>
      </c>
      <c r="CX31" s="121">
        <f t="shared" si="30"/>
        <v>12</v>
      </c>
      <c r="CY31" s="122">
        <f t="shared" si="31"/>
        <v>2043</v>
      </c>
      <c r="CZ31" s="121">
        <f t="shared" si="32"/>
        <v>9</v>
      </c>
      <c r="DA31" s="122">
        <f t="shared" si="33"/>
        <v>2043</v>
      </c>
      <c r="DB31" s="123" t="str">
        <f t="shared" si="34"/>
        <v>- - -</v>
      </c>
      <c r="DC31" s="124" t="str">
        <f t="shared" si="35"/>
        <v>. .</v>
      </c>
      <c r="DD31" s="124"/>
      <c r="DE31" s="103">
        <f t="shared" si="36"/>
        <v>660</v>
      </c>
      <c r="DF31" s="103">
        <f t="shared" si="37"/>
        <v>-23858</v>
      </c>
      <c r="DG31" s="103">
        <f t="shared" si="38"/>
        <v>-1989</v>
      </c>
      <c r="DH31" s="103" t="str">
        <f t="shared" si="39"/>
        <v>Nữ dưới 30</v>
      </c>
      <c r="DI31" s="103"/>
      <c r="DJ31" s="103"/>
      <c r="DK31" s="109" t="str">
        <f t="shared" si="40"/>
        <v>Đến 30</v>
      </c>
      <c r="DL31" s="117" t="str">
        <f t="shared" si="41"/>
        <v>--</v>
      </c>
      <c r="DM31" s="101"/>
      <c r="DN31" s="99"/>
      <c r="DO31" s="136"/>
      <c r="DP31" s="101"/>
      <c r="DQ31" s="119"/>
      <c r="DR31" s="125"/>
      <c r="DS31" s="126"/>
      <c r="DT31" s="127"/>
      <c r="DU31" s="128"/>
      <c r="DV31" s="102" t="s">
        <v>152</v>
      </c>
      <c r="DW31" s="105" t="s">
        <v>225</v>
      </c>
      <c r="DX31" s="106" t="s">
        <v>152</v>
      </c>
      <c r="DY31" s="141" t="s">
        <v>43</v>
      </c>
      <c r="DZ31" s="106" t="s">
        <v>53</v>
      </c>
      <c r="EA31" s="129" t="s">
        <v>45</v>
      </c>
      <c r="EB31" s="106" t="s">
        <v>53</v>
      </c>
      <c r="EC31" s="130">
        <v>2012</v>
      </c>
      <c r="ED31" s="105">
        <f t="shared" si="42"/>
        <v>0</v>
      </c>
      <c r="EE31" s="106" t="str">
        <f t="shared" si="43"/>
        <v>- - -</v>
      </c>
      <c r="EF31" s="141" t="s">
        <v>43</v>
      </c>
      <c r="EG31" s="106" t="s">
        <v>53</v>
      </c>
      <c r="EH31" s="129" t="s">
        <v>45</v>
      </c>
      <c r="EI31" s="99" t="s">
        <v>53</v>
      </c>
      <c r="EJ31" s="116">
        <v>2012</v>
      </c>
      <c r="EK31" s="131"/>
      <c r="EL31" s="128" t="str">
        <f t="shared" si="44"/>
        <v>- - -</v>
      </c>
      <c r="EM31" s="132" t="str">
        <f t="shared" si="45"/>
        <v>---</v>
      </c>
      <c r="FP31" s="863"/>
      <c r="FQ31" s="863"/>
      <c r="FR31" s="863"/>
      <c r="FS31" s="863"/>
      <c r="FT31" s="863"/>
      <c r="FU31" s="863"/>
      <c r="FV31" s="863"/>
      <c r="FW31" s="863"/>
      <c r="FX31" s="863"/>
      <c r="FY31" s="863"/>
      <c r="FZ31" s="863"/>
      <c r="GA31" s="863"/>
      <c r="GB31" s="863"/>
      <c r="GC31" s="863"/>
      <c r="GD31" s="863"/>
      <c r="GE31" s="863"/>
      <c r="GF31" s="863"/>
      <c r="GG31" s="863"/>
      <c r="GH31" s="863"/>
      <c r="GI31" s="863"/>
      <c r="GJ31" s="863"/>
      <c r="GK31" s="863"/>
      <c r="GL31" s="863"/>
      <c r="GM31" s="863"/>
      <c r="GN31" s="863"/>
      <c r="GO31" s="863"/>
      <c r="GP31" s="863"/>
      <c r="GQ31" s="863"/>
      <c r="GR31" s="863"/>
      <c r="GS31" s="863"/>
      <c r="GT31" s="863"/>
    </row>
    <row r="32" spans="1:202" s="132" customFormat="1" ht="42" customHeight="1" x14ac:dyDescent="0.2">
      <c r="A32" s="547">
        <v>767</v>
      </c>
      <c r="B32" s="322">
        <v>16</v>
      </c>
      <c r="C32" s="99"/>
      <c r="D32" s="99" t="str">
        <f t="shared" si="0"/>
        <v>Ông</v>
      </c>
      <c r="E32" s="549" t="s">
        <v>229</v>
      </c>
      <c r="F32" s="550" t="s">
        <v>63</v>
      </c>
      <c r="G32" s="551" t="s">
        <v>190</v>
      </c>
      <c r="H32" s="551" t="s">
        <v>53</v>
      </c>
      <c r="I32" s="551" t="s">
        <v>44</v>
      </c>
      <c r="J32" s="98" t="s">
        <v>53</v>
      </c>
      <c r="K32" s="98" t="s">
        <v>230</v>
      </c>
      <c r="L32" s="98" t="s">
        <v>83</v>
      </c>
      <c r="M32" s="98" t="str">
        <f t="shared" si="1"/>
        <v>VC</v>
      </c>
      <c r="N32" s="98"/>
      <c r="O32" s="98" t="e">
        <f t="shared" si="2"/>
        <v>#N/A</v>
      </c>
      <c r="P32" s="98"/>
      <c r="Q32" s="549" t="e">
        <f>VLOOKUP(P32,'[1]- DLiêu Gốc (Không sửa)'!$C$2:$H$116,2,0)</f>
        <v>#N/A</v>
      </c>
      <c r="R32" s="580" t="s">
        <v>231</v>
      </c>
      <c r="S32" s="552" t="s">
        <v>150</v>
      </c>
      <c r="T32" s="553" t="str">
        <f>VLOOKUP(Y32,'[2]- DLiêu Gốc -'!$C$2:$H$60,5,0)</f>
        <v>A1</v>
      </c>
      <c r="U32" s="553" t="str">
        <f>VLOOKUP(Y32,'[2]- DLiêu Gốc -'!$C$2:$H$60,6,0)</f>
        <v>- - -</v>
      </c>
      <c r="V32" s="554" t="s">
        <v>74</v>
      </c>
      <c r="W32" s="555" t="str">
        <f t="shared" si="3"/>
        <v>Chuyên viên</v>
      </c>
      <c r="X32" s="556" t="str">
        <f t="shared" si="4"/>
        <v>01.003</v>
      </c>
      <c r="Y32" s="557" t="s">
        <v>42</v>
      </c>
      <c r="Z32" s="556" t="str">
        <f>VLOOKUP(Y32,'[2]- DLiêu Gốc -'!$C$1:$H$132,2,0)</f>
        <v>01.003</v>
      </c>
      <c r="AA32" s="558" t="str">
        <f t="shared" si="5"/>
        <v>Lương</v>
      </c>
      <c r="AB32" s="559">
        <v>2</v>
      </c>
      <c r="AC32" s="470" t="str">
        <f t="shared" si="6"/>
        <v>/</v>
      </c>
      <c r="AD32" s="51">
        <f t="shared" si="7"/>
        <v>9</v>
      </c>
      <c r="AE32" s="560">
        <f t="shared" si="8"/>
        <v>2.67</v>
      </c>
      <c r="AF32" s="561"/>
      <c r="AG32" s="51"/>
      <c r="AH32" s="562" t="s">
        <v>43</v>
      </c>
      <c r="AI32" s="563" t="s">
        <v>53</v>
      </c>
      <c r="AJ32" s="564" t="s">
        <v>45</v>
      </c>
      <c r="AK32" s="838" t="s">
        <v>53</v>
      </c>
      <c r="AL32" s="565">
        <v>2015</v>
      </c>
      <c r="AM32" s="566"/>
      <c r="AN32" s="567"/>
      <c r="AO32" s="568">
        <f t="shared" si="9"/>
        <v>3</v>
      </c>
      <c r="AP32" s="569" t="str">
        <f t="shared" si="10"/>
        <v>/</v>
      </c>
      <c r="AQ32" s="570">
        <f t="shared" si="11"/>
        <v>9</v>
      </c>
      <c r="AR32" s="578">
        <f t="shared" si="12"/>
        <v>3</v>
      </c>
      <c r="AS32" s="51"/>
      <c r="AT32" s="571" t="s">
        <v>43</v>
      </c>
      <c r="AU32" s="572" t="s">
        <v>53</v>
      </c>
      <c r="AV32" s="573" t="s">
        <v>45</v>
      </c>
      <c r="AW32" s="574" t="s">
        <v>53</v>
      </c>
      <c r="AX32" s="575">
        <v>2018</v>
      </c>
      <c r="AY32" s="579"/>
      <c r="AZ32" s="125">
        <v>5</v>
      </c>
      <c r="BA32" s="107">
        <f t="shared" si="13"/>
        <v>3</v>
      </c>
      <c r="BB32" s="576">
        <f t="shared" si="14"/>
        <v>-24221</v>
      </c>
      <c r="BC32" s="104">
        <f>VLOOKUP(Y32,'[2]- DLiêu Gốc -'!$C$1:$F$60,3,0)</f>
        <v>2.34</v>
      </c>
      <c r="BD32" s="104">
        <f>VLOOKUP(Y32,'[2]- DLiêu Gốc -'!$C$1:$F$60,4,0)</f>
        <v>0.33</v>
      </c>
      <c r="BE32" s="109" t="str">
        <f t="shared" si="15"/>
        <v>o-o-o</v>
      </c>
      <c r="BF32" s="110"/>
      <c r="BG32" s="212"/>
      <c r="BH32" s="112"/>
      <c r="BI32" s="410"/>
      <c r="BJ32" s="211"/>
      <c r="BK32" s="410"/>
      <c r="BL32" s="135"/>
      <c r="BM32" s="108"/>
      <c r="BN32" s="147"/>
      <c r="BO32" s="111"/>
      <c r="BP32" s="548"/>
      <c r="BQ32" s="112"/>
      <c r="BR32" s="410"/>
      <c r="BS32" s="211"/>
      <c r="BT32" s="410"/>
      <c r="BU32" s="135"/>
      <c r="BV32" s="137"/>
      <c r="BW32" s="116"/>
      <c r="BX32" s="577" t="str">
        <f t="shared" si="16"/>
        <v>- - -</v>
      </c>
      <c r="BY32" s="109" t="str">
        <f>IF(BG32&gt;3,(($BF$2-BV32)*12+($BF$4-BT32)-BN32),"- - -")</f>
        <v>- - -</v>
      </c>
      <c r="BZ32" s="100" t="str">
        <f t="shared" si="18"/>
        <v>Chánh Văn phòng Học viện, Trưởng Ban Tổ chức - Cán bộ, Trưởng Phân viện Học viện Hành chính Quốc gia khu vực Tây Nguyên</v>
      </c>
      <c r="CA32" s="113" t="str">
        <f t="shared" si="19"/>
        <v>A</v>
      </c>
      <c r="CB32" s="114" t="str">
        <f t="shared" si="20"/>
        <v>=&gt; s</v>
      </c>
      <c r="CC32" s="103">
        <f t="shared" si="21"/>
        <v>24245</v>
      </c>
      <c r="CD32" s="99" t="str">
        <f t="shared" si="22"/>
        <v>---</v>
      </c>
      <c r="CE32" s="99"/>
      <c r="CF32" s="164"/>
      <c r="CG32" s="99"/>
      <c r="CH32" s="115"/>
      <c r="CI32" s="99" t="str">
        <f t="shared" si="23"/>
        <v>- - -</v>
      </c>
      <c r="CJ32" s="116" t="str">
        <f t="shared" si="24"/>
        <v>- - -</v>
      </c>
      <c r="CK32" s="117"/>
      <c r="CL32" s="118"/>
      <c r="CM32" s="117"/>
      <c r="CN32" s="119"/>
      <c r="CO32" s="116" t="str">
        <f t="shared" si="25"/>
        <v>- - -</v>
      </c>
      <c r="CP32" s="117"/>
      <c r="CQ32" s="118"/>
      <c r="CR32" s="117"/>
      <c r="CS32" s="119"/>
      <c r="CT32" s="120" t="str">
        <f>IF(AND(CU32="Hưu",AB32&lt;(AD32-1),DB32&gt;0,DB32&lt;18,OR(BF32&lt;4,AND(BF32&gt;3,OR(BY32&lt;3,BY32&gt;5)))),"Lg Sớm",IF(AND(CU32="Hưu",AB32&gt;(AD32-2),OR(BD32=0.33,BD32=0.34),OR(BF32&lt;4,AND(BF32&gt;3,OR(BY32&lt;3,BY32&gt;5)))),"Nâng Ngạch",IF(AND(CU32="Hưu",BA32=1,DB32&gt;2,DB32&lt;6,OR(BF32&lt;4,AND(BF32&gt;3,OR(BY32&lt;3,BY32&gt;5)))),"Nâng PcVK cùng QĐ",IF(AND(CU32="Hưu",BF32&gt;3,BY32&gt;2,BY32&lt;6,AB32&lt;(AD32-1),DB32&gt;17,OR(BA32&gt;1,AND(BA32=1,OR(DB32&lt;3,DB32&gt;5)))),"Nâng PcNG cùng QĐ",IF(AND(CU32="Hưu",AB32&lt;(AD32-1),DB32&gt;0,DB32&lt;18,BF32&gt;3,BY32&gt;2,BY32&lt;6),"Nâng Lg Sớm +(PcNG cùng QĐ)",IF(AND(CU32="Hưu",AB32&gt;(AD32-2),OR(BD32=0.33,BD32=0.34),BF32&gt;3,BY32&gt;2,BY32&lt;6),"Nâng Ngạch +(PcNG cùng QĐ)",IF(AND(CU32="Hưu",BA32=1,DB32&gt;2,DB32&lt;6,BF32&gt;3,BY32&gt;2,BY32&lt;6),"Nâng (PcVK +PcNG) cùng QĐ",("---"))))))))</f>
        <v>---</v>
      </c>
      <c r="CU32" s="148" t="str">
        <f t="shared" si="27"/>
        <v>/-/ /-/</v>
      </c>
      <c r="CV32" s="121">
        <f t="shared" si="28"/>
        <v>3</v>
      </c>
      <c r="CW32" s="122">
        <f t="shared" si="29"/>
        <v>2048</v>
      </c>
      <c r="CX32" s="121">
        <f t="shared" si="30"/>
        <v>12</v>
      </c>
      <c r="CY32" s="122">
        <f t="shared" si="31"/>
        <v>2047</v>
      </c>
      <c r="CZ32" s="121">
        <f t="shared" si="32"/>
        <v>9</v>
      </c>
      <c r="DA32" s="122">
        <f t="shared" si="33"/>
        <v>2047</v>
      </c>
      <c r="DB32" s="123" t="str">
        <f t="shared" si="34"/>
        <v>- - -</v>
      </c>
      <c r="DC32" s="124" t="str">
        <f t="shared" si="35"/>
        <v>. .</v>
      </c>
      <c r="DD32" s="124"/>
      <c r="DE32" s="103">
        <f t="shared" si="36"/>
        <v>720</v>
      </c>
      <c r="DF32" s="103">
        <f t="shared" si="37"/>
        <v>-23846</v>
      </c>
      <c r="DG32" s="103">
        <f t="shared" si="38"/>
        <v>-1988</v>
      </c>
      <c r="DH32" s="103" t="str">
        <f t="shared" si="39"/>
        <v>Nam dưới 35</v>
      </c>
      <c r="DI32" s="103"/>
      <c r="DJ32" s="103"/>
      <c r="DK32" s="109" t="str">
        <f t="shared" si="40"/>
        <v>Đến 30</v>
      </c>
      <c r="DL32" s="117" t="str">
        <f t="shared" si="41"/>
        <v>TD</v>
      </c>
      <c r="DM32" s="101">
        <v>2012</v>
      </c>
      <c r="DN32" s="99"/>
      <c r="DO32" s="136"/>
      <c r="DP32" s="101"/>
      <c r="DQ32" s="119"/>
      <c r="DR32" s="125"/>
      <c r="DS32" s="126"/>
      <c r="DT32" s="127"/>
      <c r="DU32" s="128"/>
      <c r="DV32" s="102" t="s">
        <v>232</v>
      </c>
      <c r="DW32" s="105" t="s">
        <v>219</v>
      </c>
      <c r="DX32" s="106" t="s">
        <v>232</v>
      </c>
      <c r="DY32" s="141" t="s">
        <v>44</v>
      </c>
      <c r="DZ32" s="106" t="s">
        <v>53</v>
      </c>
      <c r="EA32" s="129" t="s">
        <v>45</v>
      </c>
      <c r="EB32" s="106" t="s">
        <v>53</v>
      </c>
      <c r="EC32" s="130" t="s">
        <v>62</v>
      </c>
      <c r="ED32" s="105">
        <f t="shared" si="42"/>
        <v>1</v>
      </c>
      <c r="EE32" s="106" t="str">
        <f t="shared" si="43"/>
        <v>Sửa</v>
      </c>
      <c r="EF32" s="141" t="s">
        <v>43</v>
      </c>
      <c r="EG32" s="106" t="s">
        <v>53</v>
      </c>
      <c r="EH32" s="129" t="s">
        <v>45</v>
      </c>
      <c r="EI32" s="99" t="s">
        <v>53</v>
      </c>
      <c r="EJ32" s="116" t="s">
        <v>62</v>
      </c>
      <c r="EK32" s="131"/>
      <c r="EL32" s="128" t="str">
        <f t="shared" si="44"/>
        <v>- - -</v>
      </c>
      <c r="EM32" s="132" t="str">
        <f t="shared" si="45"/>
        <v>---</v>
      </c>
      <c r="FP32" s="863"/>
      <c r="FQ32" s="863"/>
      <c r="FR32" s="863"/>
      <c r="FS32" s="863"/>
      <c r="FT32" s="863"/>
      <c r="FU32" s="863"/>
      <c r="FV32" s="863"/>
      <c r="FW32" s="863"/>
      <c r="FX32" s="863"/>
      <c r="FY32" s="863"/>
      <c r="FZ32" s="863"/>
      <c r="GA32" s="863"/>
      <c r="GB32" s="863"/>
      <c r="GC32" s="863"/>
      <c r="GD32" s="863"/>
      <c r="GE32" s="863"/>
      <c r="GF32" s="863"/>
      <c r="GG32" s="863"/>
      <c r="GH32" s="863"/>
      <c r="GI32" s="863"/>
      <c r="GJ32" s="863"/>
      <c r="GK32" s="863"/>
      <c r="GL32" s="863"/>
      <c r="GM32" s="863"/>
      <c r="GN32" s="863"/>
      <c r="GO32" s="863"/>
      <c r="GP32" s="863"/>
      <c r="GQ32" s="863"/>
      <c r="GR32" s="863"/>
      <c r="GS32" s="863"/>
      <c r="GT32" s="863"/>
    </row>
    <row r="33" spans="1:219" s="308" customFormat="1" ht="21.75" customHeight="1" x14ac:dyDescent="0.2">
      <c r="A33" s="284"/>
      <c r="B33" s="285" t="s">
        <v>36</v>
      </c>
      <c r="C33" s="285"/>
      <c r="D33" s="286"/>
      <c r="E33" s="286" t="s">
        <v>233</v>
      </c>
      <c r="F33" s="287"/>
      <c r="G33" s="288"/>
      <c r="H33" s="288"/>
      <c r="I33" s="288"/>
      <c r="J33" s="289"/>
      <c r="K33" s="289"/>
      <c r="L33" s="289"/>
      <c r="M33" s="289"/>
      <c r="N33" s="289"/>
      <c r="O33" s="289"/>
      <c r="P33" s="289"/>
      <c r="Q33" s="286"/>
      <c r="R33" s="290"/>
      <c r="S33" s="291"/>
      <c r="T33" s="292"/>
      <c r="U33" s="292"/>
      <c r="V33" s="293"/>
      <c r="W33" s="420"/>
      <c r="X33" s="324"/>
      <c r="Y33" s="325"/>
      <c r="Z33" s="326"/>
      <c r="AA33" s="327"/>
      <c r="AB33" s="317"/>
      <c r="AC33" s="381"/>
      <c r="AD33" s="318"/>
      <c r="AE33" s="323"/>
      <c r="AF33" s="321"/>
      <c r="AG33" s="318"/>
      <c r="AH33" s="379"/>
      <c r="AI33" s="388"/>
      <c r="AJ33" s="380"/>
      <c r="AK33" s="394"/>
      <c r="AL33" s="395"/>
      <c r="AM33" s="427"/>
      <c r="AN33" s="428"/>
      <c r="AO33" s="396"/>
      <c r="AP33" s="389"/>
      <c r="AQ33" s="399"/>
      <c r="AR33" s="321"/>
      <c r="AS33" s="381"/>
      <c r="AT33" s="319"/>
      <c r="AU33" s="387"/>
      <c r="AV33" s="412"/>
      <c r="AW33" s="393"/>
      <c r="AX33" s="320"/>
      <c r="AY33" s="753"/>
      <c r="AZ33" s="295"/>
      <c r="BA33" s="296"/>
      <c r="BB33" s="296"/>
      <c r="BC33" s="289"/>
      <c r="BD33" s="297"/>
      <c r="BE33" s="298"/>
      <c r="BF33" s="298"/>
      <c r="BG33" s="285"/>
      <c r="BH33" s="420"/>
      <c r="BI33" s="420"/>
      <c r="BJ33" s="298"/>
      <c r="BK33" s="299"/>
      <c r="BL33" s="294"/>
      <c r="BM33" s="300"/>
      <c r="BN33" s="301"/>
      <c r="BO33" s="301"/>
      <c r="BP33" s="301"/>
      <c r="BQ33" s="301"/>
      <c r="BR33" s="301"/>
      <c r="BS33" s="298"/>
      <c r="BT33" s="302"/>
      <c r="BU33" s="303"/>
      <c r="BV33" s="298"/>
      <c r="BW33" s="285"/>
      <c r="BX33" s="289"/>
      <c r="BY33" s="304"/>
      <c r="BZ33" s="305"/>
      <c r="CA33" s="284"/>
      <c r="CB33" s="306"/>
      <c r="CC33" s="306"/>
      <c r="CD33" s="284"/>
      <c r="CE33" s="307"/>
      <c r="CF33" s="284"/>
      <c r="CG33" s="284"/>
      <c r="CX33" s="309"/>
      <c r="CY33" s="310"/>
      <c r="CZ33" s="311"/>
      <c r="DA33" s="284"/>
      <c r="DB33" s="312"/>
      <c r="DC33" s="312"/>
      <c r="DD33" s="312"/>
      <c r="DE33" s="312"/>
      <c r="DF33" s="313"/>
      <c r="DG33" s="314"/>
      <c r="DH33" s="314"/>
      <c r="DI33" s="312"/>
      <c r="DJ33" s="315"/>
      <c r="DK33" s="314"/>
      <c r="DL33" s="316"/>
      <c r="DM33" s="316"/>
    </row>
    <row r="34" spans="1:219" s="721" customFormat="1" ht="36.75" customHeight="1" x14ac:dyDescent="0.2">
      <c r="A34" s="690">
        <v>701</v>
      </c>
      <c r="B34" s="322">
        <v>1</v>
      </c>
      <c r="C34" s="322"/>
      <c r="D34" s="691" t="str">
        <f>IF(F34="Nam","Ông","Bà")</f>
        <v>Ông</v>
      </c>
      <c r="E34" s="691" t="s">
        <v>166</v>
      </c>
      <c r="F34" s="692" t="s">
        <v>63</v>
      </c>
      <c r="G34" s="693" t="s">
        <v>59</v>
      </c>
      <c r="H34" s="693" t="s">
        <v>53</v>
      </c>
      <c r="I34" s="693" t="s">
        <v>58</v>
      </c>
      <c r="J34" s="694" t="s">
        <v>53</v>
      </c>
      <c r="K34" s="694">
        <v>1957</v>
      </c>
      <c r="L34" s="694" t="s">
        <v>83</v>
      </c>
      <c r="M34" s="694" t="str">
        <f>IF(L34="công chức","CC",IF(L34="viên chức","VC",IF(L34="người lao động","NLĐ","- - -")))</f>
        <v>VC</v>
      </c>
      <c r="N34" s="694"/>
      <c r="O34" s="694" t="str">
        <f>IF(AND((Q34+0)&gt;0.3,(Q34+0)&lt;1.5),"CVụ","- -")</f>
        <v>CVụ</v>
      </c>
      <c r="P34" s="694" t="s">
        <v>167</v>
      </c>
      <c r="Q34" s="691" t="str">
        <f>VLOOKUP(P34,'[1]- DLiêu Gốc (Không sửa)'!$C$2:$H$116,2,0)</f>
        <v>0,8</v>
      </c>
      <c r="R34" s="580" t="s">
        <v>168</v>
      </c>
      <c r="S34" s="860" t="s">
        <v>154</v>
      </c>
      <c r="T34" s="695" t="str">
        <f>VLOOKUP(Y34,'[2]- DLiêu Gốc -'!$C$2:$H$60,5,0)</f>
        <v>A3</v>
      </c>
      <c r="U34" s="695" t="str">
        <f>VLOOKUP(Y34,'[2]- DLiêu Gốc -'!$C$2:$H$60,6,0)</f>
        <v>A3.1</v>
      </c>
      <c r="V34" s="696" t="s">
        <v>73</v>
      </c>
      <c r="W34" s="697" t="str">
        <f>IF(OR(Y34="Kỹ thuật viên đánh máy",Y34="Nhân viên đánh máy",Y34="Nhân viên kỹ thuật",Y34="Nhân viên văn thư",Y34="Nhân viên phục vụ",Y34="Lái xe cơ quan",Y34="Nhân viên bảo vệ"),"Nhân viên",Y34)</f>
        <v>Giảng viên cao cấp (hạng I)</v>
      </c>
      <c r="X34" s="326" t="str">
        <f>IF(W34="Nhân viên","01.005",Z34)</f>
        <v>V.07.01.01</v>
      </c>
      <c r="Y34" s="325" t="s">
        <v>76</v>
      </c>
      <c r="Z34" s="326" t="str">
        <f>VLOOKUP(Y34,'[2]- DLiêu Gốc -'!$C$1:$H$132,2,0)</f>
        <v>V.07.01.01</v>
      </c>
      <c r="AA34" s="327" t="str">
        <f>IF(OR(AND(BB34=36,BA34=3),AND(BB34=24,BA34=2),AND(BB34=12,BA34=1)),"Đến $",IF(OR(AND(BB34&gt;36,BA34=3),AND(BB34&gt;24,BA34=2),AND(BB34&gt;12,BA34=1)),"Dừng $","Lương"))</f>
        <v>Lương</v>
      </c>
      <c r="AB34" s="317">
        <v>6</v>
      </c>
      <c r="AC34" s="381" t="str">
        <f>IF(AD34&gt;0,"/")</f>
        <v>/</v>
      </c>
      <c r="AD34" s="318">
        <f>IF(OR(BD34=0.18,BD34=0.2),12,IF(BD34=0.31,10,IF(BD34=0.33,9,IF(BD34=0.34,8,IF(BD34=0.36,6)))))</f>
        <v>6</v>
      </c>
      <c r="AE34" s="323">
        <f>BC34+(AB34-1)*BD34</f>
        <v>8</v>
      </c>
      <c r="AF34" s="321"/>
      <c r="AG34" s="318"/>
      <c r="AH34" s="379" t="s">
        <v>43</v>
      </c>
      <c r="AI34" s="388" t="s">
        <v>53</v>
      </c>
      <c r="AJ34" s="380" t="s">
        <v>45</v>
      </c>
      <c r="AK34" s="394" t="s">
        <v>53</v>
      </c>
      <c r="AL34" s="395">
        <v>2015</v>
      </c>
      <c r="AM34" s="427"/>
      <c r="AN34" s="428"/>
      <c r="AO34" s="861">
        <f>AB34+1</f>
        <v>7</v>
      </c>
      <c r="AP34" s="862" t="str">
        <f>IF(AD34=AB34,"%",IF(AD34&gt;AB34,"/"))</f>
        <v>%</v>
      </c>
      <c r="AQ34" s="399"/>
      <c r="AR34" s="321">
        <v>5</v>
      </c>
      <c r="AS34" s="318" t="str">
        <f>IF(AD34=AB34,"%",IF(AD34&gt;AB34,AE34+BD34))</f>
        <v>%</v>
      </c>
      <c r="AT34" s="698" t="s">
        <v>43</v>
      </c>
      <c r="AU34" s="699" t="s">
        <v>53</v>
      </c>
      <c r="AV34" s="412" t="s">
        <v>45</v>
      </c>
      <c r="AW34" s="393" t="s">
        <v>53</v>
      </c>
      <c r="AX34" s="320">
        <v>2018</v>
      </c>
      <c r="AY34" s="700"/>
      <c r="AZ34" s="752">
        <v>5</v>
      </c>
      <c r="BA34" s="694">
        <f>IF(AND(AD34&gt;AB34,OR(BD34=0.18,BD34=0.2)),2,IF(AND(AD34&gt;AB34,OR(BD34=0.31,BD34=0.33,BD34=0.34,BD34=0.36)),3,IF(AD34=AB34,1)))</f>
        <v>1</v>
      </c>
      <c r="BB34" s="702">
        <f>12*($AA$2-AX34)+($AA$3-AV34)-AM34</f>
        <v>-24221</v>
      </c>
      <c r="BC34" s="703">
        <f>VLOOKUP(Y34,'[2]- DLiêu Gốc -'!$C$1:$F$60,3,0)</f>
        <v>6.2</v>
      </c>
      <c r="BD34" s="704">
        <f>VLOOKUP(Y34,'[2]- DLiêu Gốc -'!$C$1:$F$60,4,0)</f>
        <v>0.36</v>
      </c>
      <c r="BE34" s="705" t="str">
        <f>IF(AND(BF34&gt;3,BX34=12),"Đến %",IF(AND(BF34&gt;3,BX34&gt;12,BX34&lt;120),"Dừng %",IF(AND(BF34&gt;3,BX34&lt;12),"PCTN","o-o-o")))</f>
        <v>PCTN</v>
      </c>
      <c r="BF34" s="706">
        <v>42</v>
      </c>
      <c r="BG34" s="707" t="s">
        <v>41</v>
      </c>
      <c r="BH34" s="704" t="s">
        <v>43</v>
      </c>
      <c r="BI34" s="708" t="s">
        <v>53</v>
      </c>
      <c r="BJ34" s="709">
        <v>4</v>
      </c>
      <c r="BK34" s="710" t="s">
        <v>53</v>
      </c>
      <c r="BL34" s="710">
        <v>2017</v>
      </c>
      <c r="BM34" s="710"/>
      <c r="BN34" s="710"/>
      <c r="BO34" s="710">
        <f>IF(BF34&gt;3,BF34+1,0)</f>
        <v>43</v>
      </c>
      <c r="BP34" s="710" t="s">
        <v>41</v>
      </c>
      <c r="BQ34" s="711" t="s">
        <v>43</v>
      </c>
      <c r="BR34" s="712" t="s">
        <v>53</v>
      </c>
      <c r="BS34" s="713">
        <v>4</v>
      </c>
      <c r="BT34" s="714" t="s">
        <v>53</v>
      </c>
      <c r="BU34" s="715">
        <v>2018</v>
      </c>
      <c r="BV34" s="704"/>
      <c r="BW34" s="322">
        <v>4</v>
      </c>
      <c r="BX34" s="694">
        <f>IF(BF34&gt;3,(($BE$2-BU34)*12+($BE$3-BS34)-BM34),"- - -")</f>
        <v>-24220</v>
      </c>
      <c r="BY34" s="716" t="str">
        <f>IF(AND(CU34="Hưu",BF34&gt;3),12-(12*(DA34-BU34)+(CZ34-BS34))-BM34,"- - -")</f>
        <v>- - -</v>
      </c>
      <c r="BZ34" s="717" t="str">
        <f>IF(OR(S34="Ban Tổ chức - Cán bộ",S34="Văn phòng Học viện",S34="Phó Giám đốc Thường trực Học viện",S34="Phó Giám đốc Học viện"),"Chánh Văn phòng Học viện, Trưởng Ban Tổ chức - Cán bộ",IF(OR(S34="Trung tâm Ngoại ngữ",S34="Trung tâm Tin học hành chính và Công nghệ thông tin",S34="Trung tâm Tin học - Thư viện",S34="Phân viện khu vực Tây Nguyên"),"Chánh Văn phòng Học viện, Trưởng Ban Tổ chức - Cán bộ, "&amp;CONCATENATE("Giám đốc ",S34),IF(S34="Tạp chí Quản lý nhà nước","Chánh Văn phòng Học viện, Trưởng Ban Tổ chức - Cán bộ, "&amp;CONCATENATE("Tổng Biên tập ",S34),IF(S34="Văn phòng Đảng uỷ Học viện","Chánh Văn phòng Học viện, Trưởng Ban Tổ chức - Cán bộ, "&amp;CONCATENATE("Chánh",S34),IF(S34="Viện Nghiên cứu Khoa học hành chính","Chánh Văn phòng Học viện, Trưởng Ban Tổ chức - Cán bộ, "&amp;CONCATENATE("Viện Trưởng ",S34),IF(OR(S34="Cơ sở Học viện Hành chính Quốc gia khu vực miền Trung",S34="Cơ sở Học viện Hành chính Quốc gia tại Thành phố Hồ Chí Minh"),"Chánh Văn phòng Học viện, Trưởng Ban Tổ chức - Cán bộ, "&amp;CONCATENATE("Thủ trưởng ",S34),"Chánh Văn phòng Học viện, Trưởng Ban Tổ chức - Cán bộ, "&amp;CONCATENATE("Trưởng ",S34)))))))</f>
        <v>Chánh Văn phòng Học viện, Trưởng Ban Tổ chức - Cán bộ, Trưởng Phân viện Học viện Hành chính Quốc gia tại Thành phố Hồ Chí Minh</v>
      </c>
      <c r="CA34" s="690" t="str">
        <f>IF(S34="Cơ sở Học viện Hành chính khu vực miền Trung","B",IF(S34="Phân viện Khu vực Tây Nguyên","C",IF(S34="Cơ sở Học viện Hành chính tại thành phố Hồ Chí Minh","D","A")))</f>
        <v>A</v>
      </c>
      <c r="CB34" s="718" t="str">
        <f>IF(AND(AO34&gt;0,AB34&lt;(AD34-1),CC34&gt;0,CC34&lt;13,OR(AND(CI34="Cùg Ng",($CB$2-CE34)&gt;BA34),CI34="- - -")),"Sớm TT","=&gt; s")</f>
        <v>=&gt; s</v>
      </c>
      <c r="CC34" s="718" t="str">
        <f>IF(BA34=3,36-(12*($CB$2-AX34)+(12-AV34)-AM34),IF(BA34=2,24-(12*($CB$2-AX34)+(12-AV34)-AM34),"---"))</f>
        <v>---</v>
      </c>
      <c r="CD34" s="719" t="str">
        <f>IF(CE34&gt;1,"S","---")</f>
        <v>---</v>
      </c>
      <c r="CE34" s="720"/>
      <c r="CF34" s="694"/>
      <c r="CG34" s="694"/>
      <c r="CI34" s="721" t="str">
        <f>IF(X34=CF34,"Cùg Ng","- - -")</f>
        <v>- - -</v>
      </c>
      <c r="CJ34" s="721" t="str">
        <f>IF(CL34&gt;2000,"NN","- - -")</f>
        <v>NN</v>
      </c>
      <c r="CK34" s="721">
        <v>5</v>
      </c>
      <c r="CL34" s="721">
        <v>2012</v>
      </c>
      <c r="CO34" s="721" t="str">
        <f>IF(CQ34&gt;2000,"CN","- - -")</f>
        <v>- - -</v>
      </c>
      <c r="CT34" s="721" t="str">
        <f>IF(AND(CU34="Hưu",AB34&lt;(AD34-1),DB34&gt;0,DB34&lt;18,OR(BF34&lt;4,AND(BF34&gt;3,OR(BY34&lt;3,BY34&gt;5)))),"Lg Sớm",IF(AND(CU34="Hưu",AB34&gt;(AD34-2),OR(BD34=0.33,BD34=0.34),OR(BF34&lt;4,AND(BF34&gt;3,OR(BY34&lt;3,BY34&gt;5)))),"Nâng Ngạch",IF(AND(CU34="Hưu",BA34=1,DB34&gt;2,DB34&lt;6,OR(BF34&lt;4,AND(BF34&gt;3,OR(BY34&lt;3,BY34&gt;5)))),"Nâng PcVK cùng QĐ",IF(AND(CU34="Hưu",BF34&gt;3,BY34&gt;2,BY34&lt;6,AB34&lt;(AD34-1),DB34&gt;17,OR(BA34&gt;1,AND(BA34=1,OR(DB34&lt;3,DB34&gt;5)))),"Nâng PcNG cùng QĐ",IF(AND(CU34="Hưu",AB34&lt;(AD34-1),DB34&gt;0,DB34&lt;18,BF34&gt;3,BY34&gt;2,BY34&lt;6),"Nâng Lg Sớm +(PcNG cùng QĐ)",IF(AND(CU34="Hưu",AB34&gt;(AD34-2),OR(BD34=0.33,BD34=0.34),BF34&gt;3,BY34&gt;2,BY34&lt;6),"Nâng Ngạch +(PcNG cùng QĐ)",IF(AND(CU34="Hưu",BA34=1,DB34&gt;2,DB34&lt;6,BF34&gt;3,BY34&gt;2,BY34&lt;6),"Nâng (PcVK +PcNG) cùng QĐ",("---"))))))))</f>
        <v>---</v>
      </c>
      <c r="CU34" s="721" t="str">
        <f>IF(AND(DF34&gt;DE34,DF34&lt;(DE34+13)),"Hưu",IF(AND(DF34&gt;(DE34+12),DF34&lt;1000),"Quá","/-/ /-/"))</f>
        <v>/-/ /-/</v>
      </c>
      <c r="CV34" s="721">
        <f>IF((I34+0)&lt;12,(I34+0)+1,IF((I34+0)=12,1,IF((I34+0)&gt;12,(I34+0)-12)))</f>
        <v>12</v>
      </c>
      <c r="CW34" s="721">
        <f>IF(OR((I34+0)=12,(I34+0)&gt;12),K34+DE34/12+1,IF(AND((I34+0)&gt;0,(I34+0)&lt;12),K34+DE34/12,"---"))</f>
        <v>2022</v>
      </c>
      <c r="CX34" s="722">
        <f>IF(AND(CV34&gt;3,CV34&lt;13),CV34-3,IF(CV34&lt;4,CV34-3+12))</f>
        <v>9</v>
      </c>
      <c r="CY34" s="723">
        <f>IF(CX34&lt;CV34,CW34,IF(CX34&gt;CV34,CW34-1))</f>
        <v>2022</v>
      </c>
      <c r="CZ34" s="701">
        <f>IF(CV34&gt;6,CV34-6,IF(CV34=6,12,IF(CV34&lt;6,CV34+6)))</f>
        <v>6</v>
      </c>
      <c r="DA34" s="724">
        <f>IF(CV34&gt;6,CW34,IF(CV34&lt;7,CW34-1))</f>
        <v>2022</v>
      </c>
      <c r="DB34" s="702" t="str">
        <f>IF(AND(CU34="Hưu",BA34=3),36+AM34-(12*(DA34-AX34)+(CZ34-AV34)),IF(AND(CU34="Hưu",BA34=2),24+AM34-(12*(DA34-AX34)+(CZ34-AV34)),IF(AND(CU34="Hưu",BA34=1),12+AM34-(12*(DA34-AX34)+(CZ34-AV34)),"- - -")))</f>
        <v>- - -</v>
      </c>
      <c r="DC34" s="703" t="str">
        <f>IF(DD34&gt;0,"K.Dài",". .")</f>
        <v>K.Dài</v>
      </c>
      <c r="DD34" s="704">
        <v>5</v>
      </c>
      <c r="DE34" s="705">
        <f>IF(F34="Nam",(60+DD34)*12,IF(F34="Nữ",(55+DD34)*12,))</f>
        <v>780</v>
      </c>
      <c r="DF34" s="706">
        <f>12*($CU$4-K34)+(12-I34)</f>
        <v>-23483</v>
      </c>
      <c r="DG34" s="324">
        <f>$DK$4-K34</f>
        <v>-1957</v>
      </c>
      <c r="DH34" s="324" t="str">
        <f>IF(AND(DG34&lt;35,F34="Nam"),"Nam dưới 35",IF(AND(DG34&lt;30,F34="Nữ"),"Nữ dưới 30",IF(AND(DG34&gt;34,DG34&lt;46,F34="Nam"),"Nam từ 35 - 45",IF(AND(DG34&gt;29,DG34&lt;41,F34="Nữ"),"Nữ từ 30 - 40",IF(AND(DG34&gt;45,DG34&lt;56,F34="Nam"),"Nam trên 45 - 55",IF(AND(DG34&gt;40,DG34&lt;51,F34="Nữ"),"Nữ trên 40 - 50",IF(AND(DG34&gt;55,F34="Nam"),"Nam trên 55","Nữ trên 50")))))))</f>
        <v>Nam dưới 35</v>
      </c>
      <c r="DI34" s="704"/>
      <c r="DJ34" s="725"/>
      <c r="DK34" s="726" t="str">
        <f>IF(DG34&lt;31,"Đến 30",IF(AND(DG34&gt;30,DG34&lt;46),"31 - 45",IF(AND(DG34&gt;45,DG34&lt;70),"Trên 45")))</f>
        <v>Đến 30</v>
      </c>
      <c r="DL34" s="710" t="str">
        <f>IF(DM34&gt;0,"TD","--")</f>
        <v>--</v>
      </c>
      <c r="DM34" s="710"/>
      <c r="DV34" s="721" t="s">
        <v>168</v>
      </c>
      <c r="DW34" s="721" t="s">
        <v>225</v>
      </c>
      <c r="DX34" s="721" t="s">
        <v>168</v>
      </c>
      <c r="DY34" s="721" t="s">
        <v>43</v>
      </c>
      <c r="DZ34" s="721" t="s">
        <v>53</v>
      </c>
      <c r="EA34" s="721" t="s">
        <v>45</v>
      </c>
      <c r="EB34" s="721" t="s">
        <v>53</v>
      </c>
      <c r="EC34" s="721">
        <v>2012</v>
      </c>
      <c r="ED34" s="721">
        <f>(DY34+0)-(EF34+0)</f>
        <v>0</v>
      </c>
      <c r="EE34" s="721" t="str">
        <f>IF(ED34&gt;0,"Sửa","- - -")</f>
        <v>- - -</v>
      </c>
      <c r="EF34" s="721" t="s">
        <v>43</v>
      </c>
      <c r="EG34" s="721" t="s">
        <v>53</v>
      </c>
      <c r="EH34" s="721" t="s">
        <v>45</v>
      </c>
      <c r="EI34" s="721" t="s">
        <v>53</v>
      </c>
      <c r="EJ34" s="721">
        <v>2012</v>
      </c>
      <c r="EK34" s="721">
        <v>7.3902000000000001</v>
      </c>
      <c r="EL34" s="721" t="str">
        <f>IF(AND(BD34&gt;0.34,AO34=1,OR(BC34=6.2,BC34=5.75)),((BC34-EK34)-2*0.34),IF(AND(BD34&gt;0.33,AO34=1,OR(BC34=4.4,BC34=4)),((BC34-EK34)-2*0.33),"- - -"))</f>
        <v>- - -</v>
      </c>
      <c r="EM34" s="721" t="str">
        <f>IF(CU34="Hưu",12*(DA34-AX34)+(CZ34-AV34),"---")</f>
        <v>---</v>
      </c>
    </row>
    <row r="35" spans="1:219" s="721" customFormat="1" ht="36.75" customHeight="1" x14ac:dyDescent="0.2">
      <c r="A35" s="690">
        <v>800</v>
      </c>
      <c r="B35" s="322">
        <v>2</v>
      </c>
      <c r="C35" s="322"/>
      <c r="D35" s="691" t="str">
        <f>IF(F35="Nam","Ông","Bà")</f>
        <v>Ông</v>
      </c>
      <c r="E35" s="691" t="s">
        <v>234</v>
      </c>
      <c r="F35" s="692" t="s">
        <v>63</v>
      </c>
      <c r="G35" s="693" t="s">
        <v>44</v>
      </c>
      <c r="H35" s="693" t="s">
        <v>53</v>
      </c>
      <c r="I35" s="693" t="s">
        <v>44</v>
      </c>
      <c r="J35" s="694" t="s">
        <v>53</v>
      </c>
      <c r="K35" s="694" t="s">
        <v>235</v>
      </c>
      <c r="L35" s="694" t="s">
        <v>83</v>
      </c>
      <c r="M35" s="694" t="str">
        <f>IF(L35="công chức","CC",IF(L35="viên chức","VC",IF(L35="người lao động","NLĐ","- - -")))</f>
        <v>VC</v>
      </c>
      <c r="N35" s="694"/>
      <c r="O35" s="694" t="e">
        <f>IF(AND((Q35+0)&gt;0.3,(Q35+0)&lt;1.5),"CVụ","- -")</f>
        <v>#N/A</v>
      </c>
      <c r="P35" s="694"/>
      <c r="Q35" s="691" t="e">
        <f>VLOOKUP(P35,'[1]- DLiêu Gốc (Không sửa)'!$C$2:$H$116,2,0)</f>
        <v>#N/A</v>
      </c>
      <c r="R35" s="580" t="s">
        <v>56</v>
      </c>
      <c r="S35" s="860" t="s">
        <v>154</v>
      </c>
      <c r="T35" s="695" t="str">
        <f>VLOOKUP(Y35,'[2]- DLiêu Gốc -'!$C$2:$H$60,5,0)</f>
        <v>C</v>
      </c>
      <c r="U35" s="695" t="str">
        <f>VLOOKUP(Y35,'[2]- DLiêu Gốc -'!$C$2:$H$60,6,0)</f>
        <v>Nhân viên</v>
      </c>
      <c r="V35" s="696" t="s">
        <v>74</v>
      </c>
      <c r="W35" s="697" t="str">
        <f>IF(OR(Y35="Kỹ thuật viên đánh máy",Y35="Nhân viên đánh máy",Y35="Nhân viên kỹ thuật",Y35="Nhân viên văn thư",Y35="Nhân viên phục vụ",Y35="Lái xe cơ quan",Y35="Nhân viên bảo vệ"),"Nhân viên",Y35)</f>
        <v>Nhân viên</v>
      </c>
      <c r="X35" s="326" t="str">
        <f>IF(W35="Nhân viên","01.005",Z35)</f>
        <v>01.005</v>
      </c>
      <c r="Y35" s="325" t="s">
        <v>236</v>
      </c>
      <c r="Z35" s="326" t="str">
        <f>VLOOKUP(Y35,'[2]- DLiêu Gốc -'!$C$1:$H$132,2,0)</f>
        <v>01.007</v>
      </c>
      <c r="AA35" s="327" t="str">
        <f>IF(OR(AND(BB35=36,BA35=3),AND(BB35=24,BA35=2),AND(BB35=12,BA35=1)),"Đến $",IF(OR(AND(BB35&gt;36,BA35=3),AND(BB35&gt;24,BA35=2),AND(BB35&gt;12,BA35=1)),"Dừng $","Lương"))</f>
        <v>Lương</v>
      </c>
      <c r="AB35" s="317">
        <v>12</v>
      </c>
      <c r="AC35" s="381" t="str">
        <f>IF(AD35&gt;0,"/")</f>
        <v>/</v>
      </c>
      <c r="AD35" s="318">
        <f>IF(OR(BD35=0.18,BD35=0.2),12,IF(BD35=0.31,10,IF(BD35=0.33,9,IF(BD35=0.34,8,IF(BD35=0.36,6)))))</f>
        <v>12</v>
      </c>
      <c r="AE35" s="323">
        <f>BC35+(AB35-1)*BD35</f>
        <v>3.63</v>
      </c>
      <c r="AF35" s="321"/>
      <c r="AG35" s="318"/>
      <c r="AH35" s="379" t="s">
        <v>43</v>
      </c>
      <c r="AI35" s="388" t="s">
        <v>53</v>
      </c>
      <c r="AJ35" s="380" t="s">
        <v>45</v>
      </c>
      <c r="AK35" s="394" t="s">
        <v>53</v>
      </c>
      <c r="AL35" s="395">
        <v>2017</v>
      </c>
      <c r="AM35" s="427"/>
      <c r="AN35" s="428"/>
      <c r="AO35" s="396">
        <v>16</v>
      </c>
      <c r="AP35" s="389" t="str">
        <f>IF(AD35=AB35,"%",IF(AD35&gt;AB35,"/"))</f>
        <v>%</v>
      </c>
      <c r="AQ35" s="399"/>
      <c r="AR35" s="321">
        <f>IF(AND(AD35=AB35,AO35=0),5,IF(AND(AD35=AB35,AO35&gt;4),AO35+1,IF(AD35&gt;AB35,AD35)))</f>
        <v>17</v>
      </c>
      <c r="AS35" s="318" t="str">
        <f>IF(AD35=AB35,"%",IF(AD35&gt;AB35,AE35+BD35))</f>
        <v>%</v>
      </c>
      <c r="AT35" s="698" t="s">
        <v>43</v>
      </c>
      <c r="AU35" s="699" t="s">
        <v>53</v>
      </c>
      <c r="AV35" s="412" t="s">
        <v>45</v>
      </c>
      <c r="AW35" s="393" t="s">
        <v>53</v>
      </c>
      <c r="AX35" s="320">
        <v>2018</v>
      </c>
      <c r="AY35" s="700"/>
      <c r="AZ35" s="752">
        <v>5</v>
      </c>
      <c r="BA35" s="694">
        <f>IF(AND(AD35&gt;AB35,OR(BD35=0.18,BD35=0.2)),2,IF(AND(AD35&gt;AB35,OR(BD35=0.31,BD35=0.33,BD35=0.34,BD35=0.36)),3,IF(AD35=AB35,1)))</f>
        <v>1</v>
      </c>
      <c r="BB35" s="702">
        <f>12*($AA$2-AX35)+($AA$3-AV35)-AM35</f>
        <v>-24221</v>
      </c>
      <c r="BC35" s="703">
        <f>VLOOKUP(Y35,'[2]- DLiêu Gốc -'!$C$1:$F$60,3,0)</f>
        <v>1.65</v>
      </c>
      <c r="BD35" s="704">
        <f>VLOOKUP(Y35,'[2]- DLiêu Gốc -'!$C$1:$F$60,4,0)</f>
        <v>0.18</v>
      </c>
      <c r="BE35" s="705" t="str">
        <f>IF(AND(BF35&gt;3,BX35=12),"Đến %",IF(AND(BF35&gt;3,BX35&gt;12,BX35&lt;120),"Dừng %",IF(AND(BF35&gt;3,BX35&lt;12),"PCTN","o-o-o")))</f>
        <v>o-o-o</v>
      </c>
      <c r="BF35" s="706"/>
      <c r="BG35" s="707"/>
      <c r="BH35" s="704"/>
      <c r="BI35" s="708"/>
      <c r="BJ35" s="709"/>
      <c r="BK35" s="710"/>
      <c r="BL35" s="710"/>
      <c r="BM35" s="710"/>
      <c r="BN35" s="710"/>
      <c r="BO35" s="710"/>
      <c r="BP35" s="710"/>
      <c r="BQ35" s="711"/>
      <c r="BR35" s="712"/>
      <c r="BS35" s="713"/>
      <c r="BT35" s="714"/>
      <c r="BU35" s="715"/>
      <c r="BV35" s="704"/>
      <c r="BW35" s="322"/>
      <c r="BX35" s="694" t="str">
        <f>IF(BF35&gt;3,(($BE$2-BU35)*12+($BE$3-BS35)-BM35),"- - -")</f>
        <v>- - -</v>
      </c>
      <c r="BY35" s="716" t="str">
        <f>IF(AND(CU35="Hưu",BF35&gt;3),12-(12*(DA35-BU35)+(CZ35-BS35))-BM35,"- - -")</f>
        <v>- - -</v>
      </c>
      <c r="BZ35" s="717" t="str">
        <f>IF(OR(S35="Ban Tổ chức - Cán bộ",S35="Văn phòng Học viện",S35="Phó Giám đốc Thường trực Học viện",S35="Phó Giám đốc Học viện"),"Chánh Văn phòng Học viện, Trưởng Ban Tổ chức - Cán bộ",IF(OR(S35="Trung tâm Ngoại ngữ",S35="Trung tâm Tin học hành chính và Công nghệ thông tin",S35="Trung tâm Tin học - Thư viện",S35="Phân viện khu vực Tây Nguyên"),"Chánh Văn phòng Học viện, Trưởng Ban Tổ chức - Cán bộ, "&amp;CONCATENATE("Giám đốc ",S35),IF(S35="Tạp chí Quản lý nhà nước","Chánh Văn phòng Học viện, Trưởng Ban Tổ chức - Cán bộ, "&amp;CONCATENATE("Tổng Biên tập ",S35),IF(S35="Văn phòng Đảng uỷ Học viện","Chánh Văn phòng Học viện, Trưởng Ban Tổ chức - Cán bộ, "&amp;CONCATENATE("Chánh",S35),IF(S35="Viện Nghiên cứu Khoa học hành chính","Chánh Văn phòng Học viện, Trưởng Ban Tổ chức - Cán bộ, "&amp;CONCATENATE("Viện Trưởng ",S35),IF(OR(S35="Cơ sở Học viện Hành chính Quốc gia khu vực miền Trung",S35="Cơ sở Học viện Hành chính Quốc gia tại Thành phố Hồ Chí Minh"),"Chánh Văn phòng Học viện, Trưởng Ban Tổ chức - Cán bộ, "&amp;CONCATENATE("Thủ trưởng ",S35),"Chánh Văn phòng Học viện, Trưởng Ban Tổ chức - Cán bộ, "&amp;CONCATENATE("Trưởng ",S35)))))))</f>
        <v>Chánh Văn phòng Học viện, Trưởng Ban Tổ chức - Cán bộ, Trưởng Phân viện Học viện Hành chính Quốc gia tại Thành phố Hồ Chí Minh</v>
      </c>
      <c r="CA35" s="690" t="str">
        <f>IF(S35="Cơ sở Học viện Hành chính khu vực miền Trung","B",IF(S35="Phân viện Khu vực Tây Nguyên","C",IF(S35="Cơ sở Học viện Hành chính tại thành phố Hồ Chí Minh","D","A")))</f>
        <v>A</v>
      </c>
      <c r="CB35" s="718" t="str">
        <f>IF(AND(AO35&gt;0,AB35&lt;(AD35-1),CC35&gt;0,CC35&lt;13,OR(AND(CI35="Cùg Ng",($CB$2-CE35)&gt;BA35),CI35="- - -")),"Sớm TT","=&gt; s")</f>
        <v>=&gt; s</v>
      </c>
      <c r="CC35" s="718" t="str">
        <f>IF(BA35=3,36-(12*($CB$2-AX35)+(12-AV35)-AM35),IF(BA35=2,24-(12*($CB$2-AX35)+(12-AV35)-AM35),"---"))</f>
        <v>---</v>
      </c>
      <c r="CD35" s="719" t="str">
        <f>IF(CE35&gt;1,"S","---")</f>
        <v>---</v>
      </c>
      <c r="CE35" s="720"/>
      <c r="CF35" s="694"/>
      <c r="CG35" s="694"/>
      <c r="CI35" s="721" t="str">
        <f>IF(X35=CF35,"Cùg Ng","- - -")</f>
        <v>- - -</v>
      </c>
      <c r="CJ35" s="721" t="str">
        <f>IF(CL35&gt;2000,"NN","- - -")</f>
        <v>- - -</v>
      </c>
      <c r="CO35" s="721" t="str">
        <f>IF(CQ35&gt;2000,"CN","- - -")</f>
        <v>- - -</v>
      </c>
      <c r="CT35" s="721" t="str">
        <f>IF(AND(CU35="Hưu",AB35&lt;(AD35-1),DB35&gt;0,DB35&lt;18,OR(BF35&lt;4,AND(BF35&gt;3,OR(BY35&lt;3,BY35&gt;5)))),"Lg Sớm",IF(AND(CU35="Hưu",AB35&gt;(AD35-2),OR(BD35=0.33,BD35=0.34),OR(BF35&lt;4,AND(BF35&gt;3,OR(BY35&lt;3,BY35&gt;5)))),"Nâng Ngạch",IF(AND(CU35="Hưu",BA35=1,DB35&gt;2,DB35&lt;6,OR(BF35&lt;4,AND(BF35&gt;3,OR(BY35&lt;3,BY35&gt;5)))),"Nâng PcVK cùng QĐ",IF(AND(CU35="Hưu",BF35&gt;3,BY35&gt;2,BY35&lt;6,AB35&lt;(AD35-1),DB35&gt;17,OR(BA35&gt;1,AND(BA35=1,OR(DB35&lt;3,DB35&gt;5)))),"Nâng PcNG cùng QĐ",IF(AND(CU35="Hưu",AB35&lt;(AD35-1),DB35&gt;0,DB35&lt;18,BF35&gt;3,BY35&gt;2,BY35&lt;6),"Nâng Lg Sớm +(PcNG cùng QĐ)",IF(AND(CU35="Hưu",AB35&gt;(AD35-2),OR(BD35=0.33,BD35=0.34),BF35&gt;3,BY35&gt;2,BY35&lt;6),"Nâng Ngạch +(PcNG cùng QĐ)",IF(AND(CU35="Hưu",BA35=1,DB35&gt;2,DB35&lt;6,BF35&gt;3,BY35&gt;2,BY35&lt;6),"Nâng (PcVK +PcNG) cùng QĐ",("---"))))))))</f>
        <v>---</v>
      </c>
      <c r="CU35" s="721" t="str">
        <f>IF(AND(DF35&gt;DE35,DF35&lt;(DE35+13)),"Hưu",IF(AND(DF35&gt;(DE35+12),DF35&lt;1000),"Quá","/-/ /-/"))</f>
        <v>/-/ /-/</v>
      </c>
      <c r="CV35" s="721">
        <f>IF((I35+0)&lt;12,(I35+0)+1,IF((I35+0)=12,1,IF((I35+0)&gt;12,(I35+0)-12)))</f>
        <v>3</v>
      </c>
      <c r="CW35" s="721">
        <f>IF(OR((I35+0)=12,(I35+0)&gt;12),K35+DE35/12+1,IF(AND((I35+0)&gt;0,(I35+0)&lt;12),K35+DE35/12,"---"))</f>
        <v>2022</v>
      </c>
      <c r="CX35" s="722">
        <f>IF(AND(CV35&gt;3,CV35&lt;13),CV35-3,IF(CV35&lt;4,CV35-3+12))</f>
        <v>12</v>
      </c>
      <c r="CY35" s="723">
        <f>IF(CX35&lt;CV35,CW35,IF(CX35&gt;CV35,CW35-1))</f>
        <v>2021</v>
      </c>
      <c r="CZ35" s="701">
        <f>IF(CV35&gt;6,CV35-6,IF(CV35=6,12,IF(CV35&lt;6,CV35+6)))</f>
        <v>9</v>
      </c>
      <c r="DA35" s="724">
        <f>IF(CV35&gt;6,CW35,IF(CV35&lt;7,CW35-1))</f>
        <v>2021</v>
      </c>
      <c r="DB35" s="702" t="str">
        <f>IF(AND(CU35="Hưu",BA35=3),36+AM35-(12*(DA35-AX35)+(CZ35-AV35)),IF(AND(CU35="Hưu",BA35=2),24+AM35-(12*(DA35-AX35)+(CZ35-AV35)),IF(AND(CU35="Hưu",BA35=1),12+AM35-(12*(DA35-AX35)+(CZ35-AV35)),"- - -")))</f>
        <v>- - -</v>
      </c>
      <c r="DC35" s="703" t="str">
        <f>IF(DD35&gt;0,"K.Dài",". .")</f>
        <v>. .</v>
      </c>
      <c r="DD35" s="704"/>
      <c r="DE35" s="705">
        <f>IF(F35="Nam",(60+DD35)*12,IF(F35="Nữ",(55+DD35)*12,))</f>
        <v>720</v>
      </c>
      <c r="DF35" s="706">
        <f>12*($CU$4-K35)+(12-I35)</f>
        <v>-23534</v>
      </c>
      <c r="DG35" s="324">
        <f>$DK$4-K35</f>
        <v>-1962</v>
      </c>
      <c r="DH35" s="324" t="str">
        <f>IF(AND(DG35&lt;35,F35="Nam"),"Nam dưới 35",IF(AND(DG35&lt;30,F35="Nữ"),"Nữ dưới 30",IF(AND(DG35&gt;34,DG35&lt;46,F35="Nam"),"Nam từ 35 - 45",IF(AND(DG35&gt;29,DG35&lt;41,F35="Nữ"),"Nữ từ 30 - 40",IF(AND(DG35&gt;45,DG35&lt;56,F35="Nam"),"Nam trên 45 - 55",IF(AND(DG35&gt;40,DG35&lt;51,F35="Nữ"),"Nữ trên 40 - 50",IF(AND(DG35&gt;55,F35="Nam"),"Nam trên 55","Nữ trên 50")))))))</f>
        <v>Nam dưới 35</v>
      </c>
      <c r="DI35" s="704"/>
      <c r="DJ35" s="725"/>
      <c r="DK35" s="726" t="str">
        <f>IF(DG35&lt;31,"Đến 30",IF(AND(DG35&gt;30,DG35&lt;46),"31 - 45",IF(AND(DG35&gt;45,DG35&lt;70),"Trên 45")))</f>
        <v>Đến 30</v>
      </c>
      <c r="DL35" s="710" t="str">
        <f>IF(DM35&gt;0,"TD","--")</f>
        <v>--</v>
      </c>
      <c r="DM35" s="710"/>
      <c r="DV35" s="721" t="s">
        <v>56</v>
      </c>
      <c r="DW35" s="721" t="s">
        <v>225</v>
      </c>
      <c r="DX35" s="721" t="s">
        <v>237</v>
      </c>
      <c r="DY35" s="721" t="s">
        <v>43</v>
      </c>
      <c r="DZ35" s="721" t="s">
        <v>53</v>
      </c>
      <c r="EA35" s="721" t="s">
        <v>45</v>
      </c>
      <c r="EB35" s="721" t="s">
        <v>53</v>
      </c>
      <c r="EC35" s="721">
        <v>2013</v>
      </c>
      <c r="ED35" s="721">
        <f>(DY35+0)-(EF35+0)</f>
        <v>0</v>
      </c>
      <c r="EE35" s="721" t="str">
        <f>IF(ED35&gt;0,"Sửa","- - -")</f>
        <v>- - -</v>
      </c>
      <c r="EF35" s="721" t="s">
        <v>43</v>
      </c>
      <c r="EG35" s="721" t="s">
        <v>53</v>
      </c>
      <c r="EH35" s="721" t="s">
        <v>45</v>
      </c>
      <c r="EI35" s="721" t="s">
        <v>53</v>
      </c>
      <c r="EJ35" s="721">
        <v>2013</v>
      </c>
      <c r="EL35" s="721" t="str">
        <f>IF(AND(BD35&gt;0.34,AO35=1,OR(BC35=6.2,BC35=5.75)),((BC35-EK35)-2*0.34),IF(AND(BD35&gt;0.33,AO35=1,OR(BC35=4.4,BC35=4)),((BC35-EK35)-2*0.33),"- - -"))</f>
        <v>- - -</v>
      </c>
      <c r="EM35" s="721" t="str">
        <f>IF(CU35="Hưu",12*(DA35-AX35)+(CZ35-AV35),"---")</f>
        <v>---</v>
      </c>
    </row>
    <row r="36" spans="1:219" s="721" customFormat="1" ht="36.75" customHeight="1" x14ac:dyDescent="0.2">
      <c r="A36" s="690">
        <v>830</v>
      </c>
      <c r="B36" s="322">
        <v>3</v>
      </c>
      <c r="C36" s="322"/>
      <c r="D36" s="691" t="str">
        <f>IF(F36="Nam","Ông","Bà")</f>
        <v>Ông</v>
      </c>
      <c r="E36" s="691" t="s">
        <v>238</v>
      </c>
      <c r="F36" s="692" t="s">
        <v>63</v>
      </c>
      <c r="G36" s="693" t="s">
        <v>44</v>
      </c>
      <c r="H36" s="693" t="s">
        <v>53</v>
      </c>
      <c r="I36" s="693" t="s">
        <v>48</v>
      </c>
      <c r="J36" s="694" t="s">
        <v>53</v>
      </c>
      <c r="K36" s="694" t="s">
        <v>222</v>
      </c>
      <c r="L36" s="694" t="s">
        <v>81</v>
      </c>
      <c r="M36" s="694" t="str">
        <f>IF(L36="công chức","CC",IF(L36="viên chức","VC",IF(L36="người lao động","NLĐ","- - -")))</f>
        <v>NLĐ</v>
      </c>
      <c r="N36" s="694" t="s">
        <v>239</v>
      </c>
      <c r="O36" s="694" t="e">
        <f>IF(AND((Q36+0)&gt;0.3,(Q36+0)&lt;1.5),"CVụ","- -")</f>
        <v>#N/A</v>
      </c>
      <c r="P36" s="694"/>
      <c r="Q36" s="691" t="e">
        <f>VLOOKUP(P36,'[1]- DLiêu Gốc (Không sửa)'!$C$2:$H$116,2,0)</f>
        <v>#N/A</v>
      </c>
      <c r="R36" s="580" t="s">
        <v>240</v>
      </c>
      <c r="S36" s="860" t="s">
        <v>154</v>
      </c>
      <c r="T36" s="695" t="str">
        <f>VLOOKUP(Y36,'[2]- DLiêu Gốc -'!$C$2:$H$60,5,0)</f>
        <v>C</v>
      </c>
      <c r="U36" s="695" t="str">
        <f>VLOOKUP(Y36,'[2]- DLiêu Gốc -'!$C$2:$H$60,6,0)</f>
        <v>Nhân viên</v>
      </c>
      <c r="V36" s="696" t="s">
        <v>74</v>
      </c>
      <c r="W36" s="697" t="str">
        <f>IF(OR(Y36="Kỹ thuật viên đánh máy",Y36="Nhân viên đánh máy",Y36="Nhân viên kỹ thuật",Y36="Nhân viên văn thư",Y36="Nhân viên phục vụ",Y36="Lái xe cơ quan",Y36="Nhân viên bảo vệ"),"Nhân viên",Y36)</f>
        <v>Nhân viên</v>
      </c>
      <c r="X36" s="326" t="str">
        <f>IF(W36="Nhân viên","01.005",Z36)</f>
        <v>01.005</v>
      </c>
      <c r="Y36" s="325" t="s">
        <v>241</v>
      </c>
      <c r="Z36" s="326" t="str">
        <f>VLOOKUP(Y36,'[2]- DLiêu Gốc -'!$C$1:$H$132,2,0)</f>
        <v>01.010</v>
      </c>
      <c r="AA36" s="327" t="str">
        <f>IF(OR(AND(BB36=36,BA36=3),AND(BB36=24,BA36=2),AND(BB36=12,BA36=1)),"Đến $",IF(OR(AND(BB36&gt;36,BA36=3),AND(BB36&gt;24,BA36=2),AND(BB36&gt;12,BA36=1)),"Dừng $","Lương"))</f>
        <v>Lương</v>
      </c>
      <c r="AB36" s="317">
        <v>12</v>
      </c>
      <c r="AC36" s="381" t="str">
        <f>IF(AD36&gt;0,"/")</f>
        <v>/</v>
      </c>
      <c r="AD36" s="318">
        <f>IF(OR(BD36=0.18,BD36=0.2),12,IF(BD36=0.31,10,IF(BD36=0.33,9,IF(BD36=0.34,8,IF(BD36=0.36,6)))))</f>
        <v>12</v>
      </c>
      <c r="AE36" s="323">
        <f>BC36+(AB36-1)*BD36</f>
        <v>4.0299999999999994</v>
      </c>
      <c r="AF36" s="321"/>
      <c r="AG36" s="318"/>
      <c r="AH36" s="379" t="s">
        <v>43</v>
      </c>
      <c r="AI36" s="388" t="s">
        <v>53</v>
      </c>
      <c r="AJ36" s="380" t="s">
        <v>45</v>
      </c>
      <c r="AK36" s="394" t="s">
        <v>53</v>
      </c>
      <c r="AL36" s="395">
        <v>2017</v>
      </c>
      <c r="AM36" s="427"/>
      <c r="AN36" s="428"/>
      <c r="AO36" s="396">
        <v>8</v>
      </c>
      <c r="AP36" s="389" t="str">
        <f>IF(AD36=AB36,"%",IF(AD36&gt;AB36,"/"))</f>
        <v>%</v>
      </c>
      <c r="AQ36" s="399"/>
      <c r="AR36" s="321">
        <f>IF(AND(AD36=AB36,AO36=0),5,IF(AND(AD36=AB36,AO36&gt;4),AO36+1,IF(AD36&gt;AB36,AD36)))</f>
        <v>9</v>
      </c>
      <c r="AS36" s="318" t="str">
        <f>IF(AD36=AB36,"%",IF(AD36&gt;AB36,AE36+BD36))</f>
        <v>%</v>
      </c>
      <c r="AT36" s="698" t="s">
        <v>43</v>
      </c>
      <c r="AU36" s="699" t="s">
        <v>53</v>
      </c>
      <c r="AV36" s="412" t="s">
        <v>45</v>
      </c>
      <c r="AW36" s="393" t="s">
        <v>53</v>
      </c>
      <c r="AX36" s="320">
        <v>2018</v>
      </c>
      <c r="AY36" s="700"/>
      <c r="AZ36" s="752">
        <v>5</v>
      </c>
      <c r="BA36" s="694">
        <f>IF(AND(AD36&gt;AB36,OR(BD36=0.18,BD36=0.2)),2,IF(AND(AD36&gt;AB36,OR(BD36=0.31,BD36=0.33,BD36=0.34,BD36=0.36)),3,IF(AD36=AB36,1)))</f>
        <v>1</v>
      </c>
      <c r="BB36" s="702">
        <f>12*($AA$2-AX36)+($AA$3-AV36)-AM36</f>
        <v>-24221</v>
      </c>
      <c r="BC36" s="703">
        <f>VLOOKUP(Y36,'[2]- DLiêu Gốc -'!$C$1:$F$60,3,0)</f>
        <v>2.0499999999999998</v>
      </c>
      <c r="BD36" s="704">
        <f>VLOOKUP(Y36,'[2]- DLiêu Gốc -'!$C$1:$F$60,4,0)</f>
        <v>0.18</v>
      </c>
      <c r="BE36" s="705" t="str">
        <f>IF(AND(BF36&gt;3,BX36=12),"Đến %",IF(AND(BF36&gt;3,BX36&gt;12,BX36&lt;120),"Dừng %",IF(AND(BF36&gt;3,BX36&lt;12),"PCTN","o-o-o")))</f>
        <v>o-o-o</v>
      </c>
      <c r="BF36" s="706"/>
      <c r="BG36" s="707"/>
      <c r="BH36" s="704"/>
      <c r="BI36" s="708"/>
      <c r="BJ36" s="709"/>
      <c r="BK36" s="710"/>
      <c r="BL36" s="710"/>
      <c r="BM36" s="710"/>
      <c r="BN36" s="710"/>
      <c r="BO36" s="710"/>
      <c r="BP36" s="710"/>
      <c r="BQ36" s="711"/>
      <c r="BR36" s="712"/>
      <c r="BS36" s="713"/>
      <c r="BT36" s="714"/>
      <c r="BU36" s="715"/>
      <c r="BV36" s="704"/>
      <c r="BW36" s="322"/>
      <c r="BX36" s="694" t="str">
        <f>IF(BF36&gt;3,(($BE$2-BU36)*12+($BE$3-BS36)-BM36),"- - -")</f>
        <v>- - -</v>
      </c>
      <c r="BY36" s="716" t="str">
        <f>IF(AND(CU36="Hưu",BF36&gt;3),12-(12*(DA36-BU36)+(CZ36-BS36))-BM36,"- - -")</f>
        <v>- - -</v>
      </c>
      <c r="BZ36" s="717" t="str">
        <f>IF(OR(S36="Ban Tổ chức - Cán bộ",S36="Văn phòng Học viện",S36="Phó Giám đốc Thường trực Học viện",S36="Phó Giám đốc Học viện"),"Chánh Văn phòng Học viện, Trưởng Ban Tổ chức - Cán bộ",IF(OR(S36="Trung tâm Ngoại ngữ",S36="Trung tâm Tin học hành chính và Công nghệ thông tin",S36="Trung tâm Tin học - Thư viện",S36="Phân viện khu vực Tây Nguyên"),"Chánh Văn phòng Học viện, Trưởng Ban Tổ chức - Cán bộ, "&amp;CONCATENATE("Giám đốc ",S36),IF(S36="Tạp chí Quản lý nhà nước","Chánh Văn phòng Học viện, Trưởng Ban Tổ chức - Cán bộ, "&amp;CONCATENATE("Tổng Biên tập ",S36),IF(S36="Văn phòng Đảng uỷ Học viện","Chánh Văn phòng Học viện, Trưởng Ban Tổ chức - Cán bộ, "&amp;CONCATENATE("Chánh",S36),IF(S36="Viện Nghiên cứu Khoa học hành chính","Chánh Văn phòng Học viện, Trưởng Ban Tổ chức - Cán bộ, "&amp;CONCATENATE("Viện Trưởng ",S36),IF(OR(S36="Cơ sở Học viện Hành chính Quốc gia khu vực miền Trung",S36="Cơ sở Học viện Hành chính Quốc gia tại Thành phố Hồ Chí Minh"),"Chánh Văn phòng Học viện, Trưởng Ban Tổ chức - Cán bộ, "&amp;CONCATENATE("Thủ trưởng ",S36),"Chánh Văn phòng Học viện, Trưởng Ban Tổ chức - Cán bộ, "&amp;CONCATENATE("Trưởng ",S36)))))))</f>
        <v>Chánh Văn phòng Học viện, Trưởng Ban Tổ chức - Cán bộ, Trưởng Phân viện Học viện Hành chính Quốc gia tại Thành phố Hồ Chí Minh</v>
      </c>
      <c r="CA36" s="690" t="str">
        <f>IF(S36="Cơ sở Học viện Hành chính khu vực miền Trung","B",IF(S36="Phân viện Khu vực Tây Nguyên","C",IF(S36="Cơ sở Học viện Hành chính tại thành phố Hồ Chí Minh","D","A")))</f>
        <v>A</v>
      </c>
      <c r="CB36" s="718" t="str">
        <f>IF(AND(AO36&gt;0,AB36&lt;(AD36-1),CC36&gt;0,CC36&lt;13,OR(AND(CI36="Cùg Ng",($CB$2-CE36)&gt;BA36),CI36="- - -")),"Sớm TT","=&gt; s")</f>
        <v>=&gt; s</v>
      </c>
      <c r="CC36" s="718" t="str">
        <f>IF(BA36=3,36-(12*($CB$2-AX36)+(12-AV36)-AM36),IF(BA36=2,24-(12*($CB$2-AX36)+(12-AV36)-AM36),"---"))</f>
        <v>---</v>
      </c>
      <c r="CD36" s="719" t="str">
        <f>IF(CE36&gt;1,"S","---")</f>
        <v>---</v>
      </c>
      <c r="CE36" s="720"/>
      <c r="CF36" s="694"/>
      <c r="CG36" s="694"/>
      <c r="CI36" s="721" t="str">
        <f>IF(X36=CF36,"Cùg Ng","- - -")</f>
        <v>- - -</v>
      </c>
      <c r="CJ36" s="721" t="str">
        <f>IF(CL36&gt;2000,"NN","- - -")</f>
        <v>- - -</v>
      </c>
      <c r="CO36" s="721" t="str">
        <f>IF(CQ36&gt;2000,"CN","- - -")</f>
        <v>- - -</v>
      </c>
      <c r="CT36" s="721" t="str">
        <f>IF(AND(CU36="Hưu",AB36&lt;(AD36-1),DB36&gt;0,DB36&lt;18,OR(BF36&lt;4,AND(BF36&gt;3,OR(BY36&lt;3,BY36&gt;5)))),"Lg Sớm",IF(AND(CU36="Hưu",AB36&gt;(AD36-2),OR(BD36=0.33,BD36=0.34),OR(BF36&lt;4,AND(BF36&gt;3,OR(BY36&lt;3,BY36&gt;5)))),"Nâng Ngạch",IF(AND(CU36="Hưu",BA36=1,DB36&gt;2,DB36&lt;6,OR(BF36&lt;4,AND(BF36&gt;3,OR(BY36&lt;3,BY36&gt;5)))),"Nâng PcVK cùng QĐ",IF(AND(CU36="Hưu",BF36&gt;3,BY36&gt;2,BY36&lt;6,AB36&lt;(AD36-1),DB36&gt;17,OR(BA36&gt;1,AND(BA36=1,OR(DB36&lt;3,DB36&gt;5)))),"Nâng PcNG cùng QĐ",IF(AND(CU36="Hưu",AB36&lt;(AD36-1),DB36&gt;0,DB36&lt;18,BF36&gt;3,BY36&gt;2,BY36&lt;6),"Nâng Lg Sớm +(PcNG cùng QĐ)",IF(AND(CU36="Hưu",AB36&gt;(AD36-2),OR(BD36=0.33,BD36=0.34),BF36&gt;3,BY36&gt;2,BY36&lt;6),"Nâng Ngạch +(PcNG cùng QĐ)",IF(AND(CU36="Hưu",BA36=1,DB36&gt;2,DB36&lt;6,BF36&gt;3,BY36&gt;2,BY36&lt;6),"Nâng (PcVK +PcNG) cùng QĐ",("---"))))))))</f>
        <v>---</v>
      </c>
      <c r="CU36" s="721" t="str">
        <f>IF(AND(DF36&gt;DE36,DF36&lt;(DE36+13)),"Hưu",IF(AND(DF36&gt;(DE36+12),DF36&lt;1000),"Quá","/-/ /-/"))</f>
        <v>/-/ /-/</v>
      </c>
      <c r="CV36" s="721">
        <f>IF((I36+0)&lt;12,(I36+0)+1,IF((I36+0)=12,1,IF((I36+0)&gt;12,(I36+0)-12)))</f>
        <v>4</v>
      </c>
      <c r="CW36" s="721">
        <f>IF(OR((I36+0)=12,(I36+0)&gt;12),K36+DE36/12+1,IF(AND((I36+0)&gt;0,(I36+0)&lt;12),K36+DE36/12,"---"))</f>
        <v>2019</v>
      </c>
      <c r="CX36" s="722">
        <f>IF(AND(CV36&gt;3,CV36&lt;13),CV36-3,IF(CV36&lt;4,CV36-3+12))</f>
        <v>1</v>
      </c>
      <c r="CY36" s="723">
        <f>IF(CX36&lt;CV36,CW36,IF(CX36&gt;CV36,CW36-1))</f>
        <v>2019</v>
      </c>
      <c r="CZ36" s="701">
        <f>IF(CV36&gt;6,CV36-6,IF(CV36=6,12,IF(CV36&lt;6,CV36+6)))</f>
        <v>10</v>
      </c>
      <c r="DA36" s="724">
        <f>IF(CV36&gt;6,CW36,IF(CV36&lt;7,CW36-1))</f>
        <v>2018</v>
      </c>
      <c r="DB36" s="702" t="str">
        <f>IF(AND(CU36="Hưu",BA36=3),36+AM36-(12*(DA36-AX36)+(CZ36-AV36)),IF(AND(CU36="Hưu",BA36=2),24+AM36-(12*(DA36-AX36)+(CZ36-AV36)),IF(AND(CU36="Hưu",BA36=1),12+AM36-(12*(DA36-AX36)+(CZ36-AV36)),"- - -")))</f>
        <v>- - -</v>
      </c>
      <c r="DC36" s="703" t="str">
        <f>IF(DD36&gt;0,"K.Dài",". .")</f>
        <v>. .</v>
      </c>
      <c r="DD36" s="704"/>
      <c r="DE36" s="705">
        <f>IF(F36="Nam",(60+DD36)*12,IF(F36="Nữ",(55+DD36)*12,))</f>
        <v>720</v>
      </c>
      <c r="DF36" s="706">
        <f>12*($CU$4-K36)+(12-I36)</f>
        <v>-23499</v>
      </c>
      <c r="DG36" s="324">
        <f>$DK$4-K36</f>
        <v>-1959</v>
      </c>
      <c r="DH36" s="324" t="str">
        <f>IF(AND(DG36&lt;35,F36="Nam"),"Nam dưới 35",IF(AND(DG36&lt;30,F36="Nữ"),"Nữ dưới 30",IF(AND(DG36&gt;34,DG36&lt;46,F36="Nam"),"Nam từ 35 - 45",IF(AND(DG36&gt;29,DG36&lt;41,F36="Nữ"),"Nữ từ 30 - 40",IF(AND(DG36&gt;45,DG36&lt;56,F36="Nam"),"Nam trên 45 - 55",IF(AND(DG36&gt;40,DG36&lt;51,F36="Nữ"),"Nữ trên 40 - 50",IF(AND(DG36&gt;55,F36="Nam"),"Nam trên 55","Nữ trên 50")))))))</f>
        <v>Nam dưới 35</v>
      </c>
      <c r="DI36" s="704"/>
      <c r="DJ36" s="725"/>
      <c r="DK36" s="726" t="str">
        <f>IF(DG36&lt;31,"Đến 30",IF(AND(DG36&gt;30,DG36&lt;46),"31 - 45",IF(AND(DG36&gt;45,DG36&lt;70),"Trên 45")))</f>
        <v>Đến 30</v>
      </c>
      <c r="DL36" s="710" t="str">
        <f>IF(DM36&gt;0,"TD","--")</f>
        <v>--</v>
      </c>
      <c r="DM36" s="710"/>
      <c r="DV36" s="721" t="s">
        <v>240</v>
      </c>
      <c r="DW36" s="721" t="s">
        <v>225</v>
      </c>
      <c r="DX36" s="721" t="s">
        <v>237</v>
      </c>
      <c r="DY36" s="721" t="s">
        <v>43</v>
      </c>
      <c r="DZ36" s="721" t="s">
        <v>53</v>
      </c>
      <c r="EA36" s="721" t="s">
        <v>45</v>
      </c>
      <c r="EB36" s="721" t="s">
        <v>53</v>
      </c>
      <c r="EC36" s="721">
        <v>2012</v>
      </c>
      <c r="ED36" s="721">
        <f>(DY36+0)-(EF36+0)</f>
        <v>0</v>
      </c>
      <c r="EE36" s="721" t="str">
        <f>IF(ED36&gt;0,"Sửa","- - -")</f>
        <v>- - -</v>
      </c>
      <c r="EF36" s="721" t="s">
        <v>43</v>
      </c>
      <c r="EG36" s="721" t="s">
        <v>53</v>
      </c>
      <c r="EH36" s="721" t="s">
        <v>45</v>
      </c>
      <c r="EI36" s="721" t="s">
        <v>53</v>
      </c>
      <c r="EJ36" s="721">
        <v>2012</v>
      </c>
      <c r="EL36" s="721" t="str">
        <f>IF(AND(BD36&gt;0.34,AO36=1,OR(BC36=6.2,BC36=5.75)),((BC36-EK36)-2*0.34),IF(AND(BD36&gt;0.33,AO36=1,OR(BC36=4.4,BC36=4)),((BC36-EK36)-2*0.33),"- - -"))</f>
        <v>- - -</v>
      </c>
      <c r="EM36" s="721" t="str">
        <f>IF(CU36="Hưu",12*(DA36-AX36)+(CZ36-AV36),"---")</f>
        <v>---</v>
      </c>
    </row>
    <row r="37" spans="1:219" x14ac:dyDescent="0.2">
      <c r="Q37" s="409"/>
      <c r="R37" s="409"/>
      <c r="AB37" s="783" t="s">
        <v>11</v>
      </c>
      <c r="AC37" s="783"/>
      <c r="AD37" s="783"/>
      <c r="AE37" s="783"/>
      <c r="AF37" s="783"/>
      <c r="AG37" s="783"/>
      <c r="AH37" s="783"/>
      <c r="AI37" s="783"/>
      <c r="AJ37" s="783"/>
      <c r="AK37" s="783"/>
      <c r="AL37" s="783"/>
      <c r="AM37" s="783"/>
      <c r="AN37" s="783"/>
      <c r="AO37" s="783"/>
      <c r="AP37" s="783"/>
      <c r="AQ37" s="783"/>
      <c r="AR37" s="783"/>
      <c r="AS37" s="783"/>
      <c r="AT37" s="783"/>
      <c r="AU37" s="783"/>
      <c r="AV37" s="783"/>
      <c r="AW37" s="783"/>
      <c r="AX37" s="783"/>
    </row>
    <row r="38" spans="1:219" x14ac:dyDescent="0.2">
      <c r="Q38" s="409"/>
      <c r="R38" s="409"/>
      <c r="AB38" s="783" t="s">
        <v>170</v>
      </c>
      <c r="AC38" s="783"/>
      <c r="AD38" s="783"/>
      <c r="AE38" s="783"/>
      <c r="AF38" s="783"/>
      <c r="AG38" s="783"/>
      <c r="AH38" s="783"/>
      <c r="AI38" s="783"/>
      <c r="AJ38" s="783"/>
      <c r="AK38" s="783"/>
      <c r="AL38" s="783"/>
      <c r="AM38" s="783"/>
      <c r="AN38" s="783"/>
      <c r="AO38" s="783"/>
      <c r="AP38" s="783"/>
      <c r="AQ38" s="783"/>
      <c r="AR38" s="783"/>
      <c r="AS38" s="783"/>
      <c r="AT38" s="783"/>
      <c r="AU38" s="783"/>
      <c r="AV38" s="783"/>
      <c r="AW38" s="783"/>
      <c r="AX38" s="783"/>
    </row>
    <row r="39" spans="1:219" ht="58.5" customHeight="1" x14ac:dyDescent="0.2">
      <c r="Q39" s="409"/>
      <c r="R39" s="409"/>
      <c r="AB39" s="781" t="s">
        <v>37</v>
      </c>
      <c r="AC39" s="782"/>
      <c r="AD39" s="782"/>
      <c r="AE39" s="782"/>
      <c r="AF39" s="782"/>
      <c r="AG39" s="782"/>
      <c r="AH39" s="782"/>
      <c r="AI39" s="782"/>
      <c r="AJ39" s="782"/>
      <c r="AK39" s="782"/>
      <c r="AL39" s="782"/>
      <c r="AM39" s="782"/>
      <c r="AN39" s="782"/>
      <c r="AO39" s="782"/>
      <c r="AP39" s="782"/>
      <c r="AQ39" s="782"/>
      <c r="AR39" s="782"/>
      <c r="AS39" s="782"/>
      <c r="AT39" s="782"/>
      <c r="AU39" s="782"/>
      <c r="AV39" s="782"/>
      <c r="AW39" s="782"/>
      <c r="AX39" s="782"/>
    </row>
    <row r="40" spans="1:219" ht="36" customHeight="1" x14ac:dyDescent="0.2">
      <c r="Q40" s="409"/>
      <c r="R40" s="409"/>
      <c r="AB40" s="779" t="s">
        <v>171</v>
      </c>
      <c r="AC40" s="780"/>
      <c r="AD40" s="780"/>
      <c r="AE40" s="780"/>
      <c r="AF40" s="780"/>
      <c r="AG40" s="780"/>
      <c r="AH40" s="780"/>
      <c r="AI40" s="780"/>
      <c r="AJ40" s="780"/>
      <c r="AK40" s="780"/>
      <c r="AL40" s="780"/>
      <c r="AM40" s="780"/>
      <c r="AN40" s="780"/>
      <c r="AO40" s="780"/>
      <c r="AP40" s="780"/>
      <c r="AQ40" s="780"/>
      <c r="AR40" s="780"/>
      <c r="AS40" s="780"/>
      <c r="AT40" s="780"/>
      <c r="AU40" s="780"/>
      <c r="AV40" s="780"/>
      <c r="AW40" s="780"/>
      <c r="AX40" s="780"/>
    </row>
    <row r="41" spans="1:219" hidden="1" x14ac:dyDescent="0.2">
      <c r="Q41" s="409"/>
      <c r="R41" s="409"/>
      <c r="AB41" s="382"/>
      <c r="AC41" s="35"/>
      <c r="AD41" s="36"/>
      <c r="AE41" s="383"/>
      <c r="AF41" s="383"/>
      <c r="AG41" s="383"/>
      <c r="AH41" s="36"/>
      <c r="AI41" s="198"/>
      <c r="AJ41" s="77"/>
      <c r="AK41" s="35"/>
      <c r="AL41" s="384"/>
      <c r="AM41" s="384"/>
      <c r="AN41" s="384"/>
      <c r="AO41" s="385"/>
      <c r="AP41" s="35"/>
      <c r="AQ41" s="400"/>
      <c r="AR41" s="76"/>
      <c r="AS41" s="76"/>
      <c r="AT41" s="36"/>
      <c r="AU41" s="198"/>
      <c r="AV41" s="77"/>
      <c r="AW41" s="35"/>
      <c r="AX41" s="384"/>
    </row>
    <row r="42" spans="1:219" hidden="1" x14ac:dyDescent="0.2">
      <c r="Q42" s="409"/>
      <c r="R42" s="409"/>
      <c r="AB42" s="382"/>
      <c r="AC42" s="35"/>
      <c r="AD42" s="36"/>
      <c r="AE42" s="383"/>
      <c r="AF42" s="383"/>
      <c r="AG42" s="383"/>
      <c r="AH42" s="36"/>
      <c r="AI42" s="198"/>
      <c r="AJ42" s="77"/>
      <c r="AK42" s="35"/>
      <c r="AL42" s="384"/>
      <c r="AM42" s="384"/>
      <c r="AN42" s="384"/>
      <c r="AO42" s="385"/>
      <c r="AP42" s="35"/>
      <c r="AQ42" s="400"/>
      <c r="AR42" s="76"/>
      <c r="AS42" s="76"/>
      <c r="AT42" s="36"/>
      <c r="AU42" s="198"/>
      <c r="AV42" s="77"/>
      <c r="AW42" s="35"/>
      <c r="AX42" s="384"/>
      <c r="BL42" s="581"/>
      <c r="BM42" s="582"/>
      <c r="BS42" s="583"/>
    </row>
    <row r="43" spans="1:219" hidden="1" x14ac:dyDescent="0.2">
      <c r="Q43" s="409"/>
      <c r="R43" s="409"/>
      <c r="AB43" s="382"/>
      <c r="AC43" s="35"/>
      <c r="AD43" s="36"/>
      <c r="AE43" s="383"/>
      <c r="AF43" s="383"/>
      <c r="AG43" s="383"/>
      <c r="AH43" s="36"/>
      <c r="AI43" s="198"/>
      <c r="AJ43" s="77"/>
      <c r="AK43" s="35"/>
      <c r="AL43" s="384"/>
      <c r="AM43" s="384"/>
      <c r="AN43" s="384"/>
      <c r="AO43" s="385"/>
      <c r="AP43" s="35"/>
      <c r="AQ43" s="400"/>
      <c r="AR43" s="76"/>
      <c r="AS43" s="76"/>
      <c r="AT43" s="36"/>
      <c r="AU43" s="198"/>
      <c r="AV43" s="77"/>
      <c r="AW43" s="35"/>
      <c r="AX43" s="384"/>
      <c r="BL43" s="581"/>
      <c r="BM43" s="582"/>
      <c r="BS43" s="583"/>
    </row>
    <row r="44" spans="1:219" hidden="1" x14ac:dyDescent="0.2">
      <c r="Q44" s="409"/>
      <c r="R44" s="409"/>
      <c r="AB44" s="382"/>
      <c r="AC44" s="35"/>
      <c r="AD44" s="36"/>
      <c r="AE44" s="383"/>
      <c r="AF44" s="383"/>
      <c r="AG44" s="383"/>
      <c r="AH44" s="36"/>
      <c r="AI44" s="198"/>
      <c r="AJ44" s="77"/>
      <c r="AK44" s="35"/>
      <c r="AL44" s="384"/>
      <c r="AM44" s="384"/>
      <c r="AN44" s="384"/>
      <c r="AO44" s="385"/>
      <c r="AP44" s="35"/>
      <c r="AQ44" s="400"/>
      <c r="AR44" s="76"/>
      <c r="AS44" s="76"/>
      <c r="AT44" s="36"/>
      <c r="AU44" s="198"/>
      <c r="AV44" s="77"/>
      <c r="AW44" s="35"/>
      <c r="AX44" s="384"/>
      <c r="BL44" s="581"/>
      <c r="BM44" s="582"/>
      <c r="BS44" s="583"/>
    </row>
    <row r="45" spans="1:219" s="58" customFormat="1" ht="57.75" hidden="1" customHeight="1" x14ac:dyDescent="0.2">
      <c r="A45" s="331"/>
      <c r="B45" s="338"/>
      <c r="C45" s="328"/>
      <c r="D45" s="541"/>
      <c r="E45" s="541"/>
      <c r="F45" s="541"/>
      <c r="G45" s="541"/>
      <c r="H45" s="541"/>
      <c r="I45" s="541"/>
      <c r="J45" s="541"/>
      <c r="K45" s="541"/>
      <c r="L45" s="541"/>
      <c r="M45" s="541"/>
      <c r="N45" s="541"/>
      <c r="O45" s="541"/>
      <c r="P45" s="541"/>
      <c r="Q45" s="541"/>
      <c r="R45" s="541"/>
      <c r="S45" s="339"/>
      <c r="T45" s="339"/>
      <c r="U45" s="339"/>
      <c r="V45" s="340"/>
      <c r="W45" s="341"/>
      <c r="X45" s="340"/>
      <c r="Y45" s="40"/>
      <c r="Z45" s="40"/>
      <c r="AA45" s="542"/>
      <c r="AB45" s="542"/>
      <c r="AC45" s="543"/>
      <c r="AD45" s="542"/>
      <c r="AE45" s="542"/>
      <c r="AF45" s="542"/>
      <c r="AG45" s="542"/>
      <c r="AH45" s="542"/>
      <c r="AI45" s="543"/>
      <c r="AJ45" s="542"/>
      <c r="AK45" s="543"/>
      <c r="AL45" s="542"/>
      <c r="AM45" s="542"/>
      <c r="AN45" s="542"/>
      <c r="AO45" s="542"/>
      <c r="AP45" s="543"/>
      <c r="AQ45" s="543"/>
      <c r="AR45" s="542"/>
      <c r="AS45" s="542"/>
      <c r="AT45" s="542"/>
      <c r="AU45" s="543"/>
      <c r="AV45" s="542"/>
      <c r="AW45" s="543"/>
      <c r="AX45" s="542"/>
      <c r="AY45" s="542"/>
      <c r="AZ45" s="542"/>
      <c r="BA45" s="542"/>
      <c r="BB45" s="542"/>
      <c r="BC45" s="542"/>
      <c r="BD45" s="542"/>
      <c r="BE45" s="542"/>
      <c r="BF45" s="542"/>
      <c r="BG45" s="542"/>
      <c r="BH45" s="542"/>
      <c r="BI45" s="542"/>
      <c r="BJ45" s="542"/>
      <c r="BK45" s="542"/>
      <c r="BL45" s="542"/>
      <c r="BM45" s="542"/>
      <c r="BN45" s="542"/>
      <c r="BO45" s="542"/>
      <c r="BP45" s="542"/>
      <c r="BQ45" s="542"/>
      <c r="BR45" s="542"/>
      <c r="BS45" s="542"/>
      <c r="BT45" s="542"/>
      <c r="BU45" s="342"/>
      <c r="BV45" s="343"/>
      <c r="BW45" s="344"/>
      <c r="BX45" s="331"/>
      <c r="BY45" s="330"/>
      <c r="BZ45" s="331"/>
      <c r="CA45" s="332"/>
      <c r="CB45" s="333"/>
      <c r="CC45" s="334"/>
      <c r="CD45" s="335"/>
      <c r="CE45" s="331"/>
      <c r="CF45" s="331"/>
      <c r="CG45" s="336"/>
      <c r="CW45" s="345"/>
      <c r="CX45" s="337"/>
      <c r="CY45" s="346"/>
      <c r="CZ45" s="347"/>
      <c r="DA45" s="348"/>
      <c r="DB45" s="349"/>
      <c r="DC45" s="329"/>
      <c r="DD45" s="348"/>
      <c r="DE45" s="350"/>
      <c r="DF45" s="40"/>
      <c r="DG45" s="40"/>
      <c r="DH45" s="329"/>
      <c r="DI45" s="351"/>
      <c r="DJ45" s="352"/>
      <c r="DK45" s="336"/>
      <c r="DL45" s="336"/>
      <c r="FP45" s="336"/>
      <c r="FQ45" s="336"/>
      <c r="FR45" s="336"/>
      <c r="FS45" s="336"/>
      <c r="FT45" s="336"/>
      <c r="FU45" s="336"/>
      <c r="FV45" s="336"/>
      <c r="FW45" s="336"/>
      <c r="FX45" s="336"/>
      <c r="FY45" s="336"/>
      <c r="FZ45" s="336"/>
      <c r="GA45" s="336"/>
      <c r="GB45" s="336"/>
      <c r="GC45" s="336"/>
      <c r="GD45" s="336"/>
      <c r="GE45" s="336"/>
      <c r="GF45" s="336"/>
      <c r="GG45" s="336"/>
      <c r="GH45" s="336"/>
      <c r="GI45" s="336"/>
      <c r="GJ45" s="336"/>
      <c r="GK45" s="336"/>
      <c r="GL45" s="336"/>
      <c r="GM45" s="336"/>
      <c r="GN45" s="336"/>
      <c r="GO45" s="336"/>
      <c r="GP45" s="336"/>
      <c r="GQ45" s="336"/>
      <c r="GR45" s="336"/>
      <c r="GS45" s="336"/>
      <c r="GT45" s="336"/>
      <c r="GU45" s="336"/>
      <c r="GV45" s="336"/>
      <c r="GW45" s="336"/>
      <c r="GX45" s="336"/>
      <c r="GY45" s="336"/>
      <c r="GZ45" s="336"/>
      <c r="HA45" s="336"/>
      <c r="HB45" s="336"/>
      <c r="HC45" s="336"/>
      <c r="HD45" s="336"/>
      <c r="HE45" s="336"/>
      <c r="HF45" s="336"/>
      <c r="HG45" s="336"/>
      <c r="HH45" s="336"/>
      <c r="HI45" s="336"/>
      <c r="HJ45" s="336"/>
      <c r="HK45" s="336"/>
    </row>
    <row r="46" spans="1:219" s="262" customFormat="1" ht="16.5" hidden="1" customHeight="1" x14ac:dyDescent="0.2">
      <c r="A46" s="353"/>
      <c r="B46" s="354"/>
      <c r="C46" s="355"/>
      <c r="D46" s="534"/>
      <c r="E46" s="534"/>
      <c r="F46" s="534"/>
      <c r="G46" s="534"/>
      <c r="H46" s="534"/>
      <c r="I46" s="534"/>
      <c r="J46" s="534"/>
      <c r="K46" s="534"/>
      <c r="L46" s="534"/>
      <c r="M46" s="534"/>
      <c r="N46" s="534"/>
      <c r="O46" s="534"/>
      <c r="P46" s="534"/>
      <c r="Q46" s="534"/>
      <c r="R46" s="534"/>
      <c r="S46" s="356"/>
      <c r="T46" s="356"/>
      <c r="U46" s="356"/>
      <c r="V46" s="357"/>
      <c r="W46" s="358"/>
      <c r="X46" s="357"/>
      <c r="Y46" s="359"/>
      <c r="Z46" s="359"/>
      <c r="AA46" s="535"/>
      <c r="AB46" s="535"/>
      <c r="AC46" s="536"/>
      <c r="AD46" s="535"/>
      <c r="AE46" s="535"/>
      <c r="AF46" s="535"/>
      <c r="AG46" s="535"/>
      <c r="AH46" s="535"/>
      <c r="AI46" s="536"/>
      <c r="AJ46" s="535"/>
      <c r="AK46" s="536"/>
      <c r="AL46" s="535"/>
      <c r="AM46" s="535"/>
      <c r="AN46" s="535"/>
      <c r="AO46" s="535"/>
      <c r="AP46" s="536"/>
      <c r="AQ46" s="536"/>
      <c r="AR46" s="535"/>
      <c r="AS46" s="535"/>
      <c r="AT46" s="535"/>
      <c r="AU46" s="536"/>
      <c r="AV46" s="535"/>
      <c r="AW46" s="536"/>
      <c r="AX46" s="535"/>
      <c r="AY46" s="535"/>
      <c r="AZ46" s="535"/>
      <c r="BA46" s="535"/>
      <c r="BB46" s="535"/>
      <c r="BC46" s="535"/>
      <c r="BD46" s="535"/>
      <c r="BE46" s="535"/>
      <c r="BF46" s="535"/>
      <c r="BG46" s="535"/>
      <c r="BH46" s="535"/>
      <c r="BI46" s="535"/>
      <c r="BJ46" s="535"/>
      <c r="BK46" s="535"/>
      <c r="BL46" s="535"/>
      <c r="BM46" s="535"/>
      <c r="BN46" s="535"/>
      <c r="BO46" s="535"/>
      <c r="BP46" s="535"/>
      <c r="BQ46" s="535"/>
      <c r="BR46" s="535"/>
      <c r="BS46" s="535"/>
      <c r="BT46" s="535"/>
      <c r="BU46" s="360"/>
      <c r="BV46" s="361"/>
      <c r="BW46" s="362"/>
      <c r="BX46" s="353"/>
      <c r="BY46" s="363"/>
      <c r="BZ46" s="353"/>
      <c r="CA46" s="364"/>
      <c r="CB46" s="365"/>
      <c r="CC46" s="366"/>
      <c r="CD46" s="367"/>
      <c r="CE46" s="353"/>
      <c r="CF46" s="353"/>
      <c r="CW46" s="368"/>
      <c r="CX46" s="369"/>
      <c r="CY46" s="370"/>
      <c r="CZ46" s="371"/>
      <c r="DA46" s="372"/>
      <c r="DB46" s="373"/>
      <c r="DC46" s="374"/>
      <c r="DD46" s="372"/>
      <c r="DE46" s="375"/>
      <c r="DF46" s="359"/>
      <c r="DG46" s="359"/>
      <c r="DH46" s="374"/>
      <c r="DI46" s="376"/>
      <c r="DJ46" s="377"/>
      <c r="DK46" s="378"/>
      <c r="DL46" s="378"/>
      <c r="FP46" s="378"/>
      <c r="FQ46" s="378"/>
      <c r="FR46" s="378"/>
      <c r="FS46" s="378"/>
      <c r="FT46" s="378"/>
      <c r="FU46" s="378"/>
      <c r="FV46" s="378"/>
      <c r="FW46" s="378"/>
      <c r="FX46" s="378"/>
      <c r="FY46" s="378"/>
      <c r="FZ46" s="378"/>
      <c r="GA46" s="378"/>
      <c r="GB46" s="378"/>
      <c r="GC46" s="378"/>
      <c r="GD46" s="378"/>
      <c r="GE46" s="378"/>
      <c r="GF46" s="378"/>
      <c r="GG46" s="378"/>
      <c r="GH46" s="378"/>
      <c r="GI46" s="378"/>
      <c r="GJ46" s="378"/>
      <c r="GK46" s="378"/>
      <c r="GL46" s="378"/>
      <c r="GM46" s="378"/>
      <c r="GN46" s="378"/>
      <c r="GO46" s="378"/>
      <c r="GP46" s="378"/>
      <c r="GQ46" s="378"/>
      <c r="GR46" s="378"/>
      <c r="GS46" s="378"/>
      <c r="GT46" s="378"/>
      <c r="GU46" s="378"/>
      <c r="GV46" s="378"/>
      <c r="GW46" s="378"/>
      <c r="GX46" s="378"/>
      <c r="GY46" s="378"/>
      <c r="GZ46" s="378"/>
      <c r="HA46" s="378"/>
      <c r="HB46" s="378"/>
      <c r="HC46" s="378"/>
      <c r="HD46" s="378"/>
      <c r="HE46" s="378"/>
      <c r="HF46" s="378"/>
      <c r="HG46" s="378"/>
      <c r="HH46" s="378"/>
      <c r="HI46" s="378"/>
      <c r="HJ46" s="378"/>
      <c r="HK46" s="378"/>
    </row>
    <row r="47" spans="1:219" hidden="1" x14ac:dyDescent="0.2"/>
    <row r="48" spans="1:219"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sheetData>
  <mergeCells count="41">
    <mergeCell ref="M11:M13"/>
    <mergeCell ref="B1:R1"/>
    <mergeCell ref="V1:AQ1"/>
    <mergeCell ref="B2:R2"/>
    <mergeCell ref="V2:AQ2"/>
    <mergeCell ref="V3:AQ3"/>
    <mergeCell ref="B11:B13"/>
    <mergeCell ref="D11:D13"/>
    <mergeCell ref="B4:AY4"/>
    <mergeCell ref="E11:E13"/>
    <mergeCell ref="F11:F13"/>
    <mergeCell ref="AM11:AN12"/>
    <mergeCell ref="AA12:AD13"/>
    <mergeCell ref="R11:S13"/>
    <mergeCell ref="V11:X13"/>
    <mergeCell ref="AB40:AX40"/>
    <mergeCell ref="AB39:AX39"/>
    <mergeCell ref="AB38:AX38"/>
    <mergeCell ref="AB37:AX37"/>
    <mergeCell ref="AA14:AD14"/>
    <mergeCell ref="AH14:AL14"/>
    <mergeCell ref="AO14:AQ14"/>
    <mergeCell ref="AF14:AG14"/>
    <mergeCell ref="AR14:AS14"/>
    <mergeCell ref="BU11:BU13"/>
    <mergeCell ref="AB11:AL11"/>
    <mergeCell ref="AO11:AX11"/>
    <mergeCell ref="AE12:AE13"/>
    <mergeCell ref="AF12:AG13"/>
    <mergeCell ref="AJ12:AL13"/>
    <mergeCell ref="AO12:AQ13"/>
    <mergeCell ref="AR12:AS13"/>
    <mergeCell ref="AV12:AX13"/>
    <mergeCell ref="AY11:AY13"/>
    <mergeCell ref="BJ11:BJ13"/>
    <mergeCell ref="R14:S14"/>
    <mergeCell ref="V14:W14"/>
    <mergeCell ref="Y11:Y13"/>
    <mergeCell ref="BT11:BT13"/>
    <mergeCell ref="AM14:AN14"/>
    <mergeCell ref="AT14:AX14"/>
  </mergeCells>
  <conditionalFormatting sqref="DD45:DD46">
    <cfRule type="expression" dxfId="374" priority="2310" stopIfTrue="1">
      <formula>IF(DE45&gt;0,1,0)</formula>
    </cfRule>
    <cfRule type="expression" dxfId="373" priority="2311" stopIfTrue="1">
      <formula>IF(DE45=0,1,0)</formula>
    </cfRule>
  </conditionalFormatting>
  <conditionalFormatting sqref="DJ45:DJ46">
    <cfRule type="cellIs" dxfId="372" priority="2307" stopIfTrue="1" operator="between">
      <formula>"Hưu"</formula>
      <formula>"Hưu"</formula>
    </cfRule>
    <cfRule type="cellIs" dxfId="371" priority="2308" stopIfTrue="1" operator="between">
      <formula>"---"</formula>
      <formula>"---"</formula>
    </cfRule>
    <cfRule type="cellIs" dxfId="370" priority="2309" stopIfTrue="1" operator="between">
      <formula>"Quá"</formula>
      <formula>"Quá"</formula>
    </cfRule>
  </conditionalFormatting>
  <conditionalFormatting sqref="DA45:DA46">
    <cfRule type="cellIs" dxfId="369" priority="2304" stopIfTrue="1" operator="between">
      <formula>"Đến"</formula>
      <formula>"Đến"</formula>
    </cfRule>
    <cfRule type="cellIs" dxfId="368" priority="2305" stopIfTrue="1" operator="between">
      <formula>"Quá"</formula>
      <formula>"Quá"</formula>
    </cfRule>
    <cfRule type="expression" dxfId="367" priority="2306" stopIfTrue="1">
      <formula>IF(OR(DA45="Lương Sớm Hưu",DA45="Nâng Ngạch Hưu"),1,0)</formula>
    </cfRule>
  </conditionalFormatting>
  <conditionalFormatting sqref="DI45:DI46">
    <cfRule type="expression" dxfId="366" priority="2301" stopIfTrue="1">
      <formula>IF(DI45="Nâg Ngạch sau TB",1,0)</formula>
    </cfRule>
    <cfRule type="expression" dxfId="365" priority="2302" stopIfTrue="1">
      <formula>IF(DI45="Nâg Lươg Sớm sau TB",1,0)</formula>
    </cfRule>
    <cfRule type="expression" dxfId="364" priority="2303" stopIfTrue="1">
      <formula>IF(DI45="Nâg PC TNVK cùng QĐ",1,0)</formula>
    </cfRule>
  </conditionalFormatting>
  <conditionalFormatting sqref="A45:A46">
    <cfRule type="expression" dxfId="363" priority="2177" stopIfTrue="1">
      <formula>IF(#REF!="Hưu",1,0)</formula>
    </cfRule>
    <cfRule type="expression" dxfId="362" priority="2178" stopIfTrue="1">
      <formula>IF(#REF!="Quá",1,0)</formula>
    </cfRule>
  </conditionalFormatting>
  <conditionalFormatting sqref="BU15">
    <cfRule type="expression" dxfId="361" priority="2116" stopIfTrue="1">
      <formula>IF(BV15="Trên 45",1,0)</formula>
    </cfRule>
    <cfRule type="expression" dxfId="360" priority="2117" stopIfTrue="1">
      <formula>IF(BV15="30 - 45",1,0)</formula>
    </cfRule>
    <cfRule type="expression" dxfId="359" priority="2118" stopIfTrue="1">
      <formula>IF(BV15="Dưới 30",1,0)</formula>
    </cfRule>
  </conditionalFormatting>
  <conditionalFormatting sqref="DD15">
    <cfRule type="expression" dxfId="358" priority="2114" stopIfTrue="1">
      <formula>IF(DE15&gt;0,1,0)</formula>
    </cfRule>
    <cfRule type="expression" dxfId="357" priority="2115" stopIfTrue="1">
      <formula>IF(DE15=0,1,0)</formula>
    </cfRule>
  </conditionalFormatting>
  <conditionalFormatting sqref="DJ15 BL15">
    <cfRule type="cellIs" dxfId="356" priority="2111" stopIfTrue="1" operator="between">
      <formula>"Hưu"</formula>
      <formula>"Hưu"</formula>
    </cfRule>
    <cfRule type="cellIs" dxfId="355" priority="2112" stopIfTrue="1" operator="between">
      <formula>"---"</formula>
      <formula>"---"</formula>
    </cfRule>
    <cfRule type="cellIs" dxfId="354" priority="2113" stopIfTrue="1" operator="between">
      <formula>"Quá"</formula>
      <formula>"Quá"</formula>
    </cfRule>
  </conditionalFormatting>
  <conditionalFormatting sqref="BD15 DA15">
    <cfRule type="cellIs" dxfId="353" priority="2108" stopIfTrue="1" operator="between">
      <formula>"Đến"</formula>
      <formula>"Đến"</formula>
    </cfRule>
    <cfRule type="cellIs" dxfId="352" priority="2109" stopIfTrue="1" operator="between">
      <formula>"Quá"</formula>
      <formula>"Quá"</formula>
    </cfRule>
    <cfRule type="expression" dxfId="351" priority="2110" stopIfTrue="1">
      <formula>IF(OR(BD15="Lương Sớm Hưu",BD15="Nâng Ngạch Hưu"),1,0)</formula>
    </cfRule>
  </conditionalFormatting>
  <conditionalFormatting sqref="BK15 DI15">
    <cfRule type="expression" dxfId="350" priority="2105" stopIfTrue="1">
      <formula>IF(BK15="Nâg Ngạch sau TB",1,0)</formula>
    </cfRule>
    <cfRule type="expression" dxfId="349" priority="2106" stopIfTrue="1">
      <formula>IF(BK15="Nâg Lươg Sớm sau TB",1,0)</formula>
    </cfRule>
    <cfRule type="expression" dxfId="348" priority="2107" stopIfTrue="1">
      <formula>IF(BK15="Nâg PC TNVK cùng QĐ",1,0)</formula>
    </cfRule>
  </conditionalFormatting>
  <conditionalFormatting sqref="A15">
    <cfRule type="expression" dxfId="347" priority="2103" stopIfTrue="1">
      <formula>IF(#REF!="Hưu",1,0)</formula>
    </cfRule>
    <cfRule type="expression" dxfId="346" priority="2104" stopIfTrue="1">
      <formula>IF(#REF!="Quá",1,0)</formula>
    </cfRule>
  </conditionalFormatting>
  <conditionalFormatting sqref="CY8">
    <cfRule type="expression" dxfId="345" priority="1784" stopIfTrue="1">
      <formula>IF(CZ8&gt;0,1,0)</formula>
    </cfRule>
    <cfRule type="expression" dxfId="344" priority="1785" stopIfTrue="1">
      <formula>IF(CZ8=0,1,0)</formula>
    </cfRule>
  </conditionalFormatting>
  <conditionalFormatting sqref="DE8">
    <cfRule type="cellIs" dxfId="343" priority="1786" stopIfTrue="1" operator="between">
      <formula>"Hưu"</formula>
      <formula>"Hưu"</formula>
    </cfRule>
    <cfRule type="cellIs" dxfId="342" priority="1787" stopIfTrue="1" operator="between">
      <formula>"---"</formula>
      <formula>"---"</formula>
    </cfRule>
    <cfRule type="cellIs" dxfId="341" priority="1788" stopIfTrue="1" operator="between">
      <formula>"Quá"</formula>
      <formula>"Quá"</formula>
    </cfRule>
  </conditionalFormatting>
  <conditionalFormatting sqref="CV8">
    <cfRule type="cellIs" dxfId="340" priority="1789" stopIfTrue="1" operator="between">
      <formula>"Đến"</formula>
      <formula>"Đến"</formula>
    </cfRule>
    <cfRule type="cellIs" dxfId="339" priority="1790" stopIfTrue="1" operator="between">
      <formula>"Quá"</formula>
      <formula>"Quá"</formula>
    </cfRule>
    <cfRule type="expression" dxfId="338" priority="1791" stopIfTrue="1">
      <formula>IF(OR(CV8="Lương Sớm Hưu",CV8="Nâng Ngạch Hưu"),1,0)</formula>
    </cfRule>
  </conditionalFormatting>
  <conditionalFormatting sqref="DD8">
    <cfRule type="expression" dxfId="337" priority="1792" stopIfTrue="1">
      <formula>IF(DD8="Nâg Ngạch sau TB",1,0)</formula>
    </cfRule>
    <cfRule type="expression" dxfId="336" priority="1793" stopIfTrue="1">
      <formula>IF(DD8="Nâg Lươg Sớm sau TB",1,0)</formula>
    </cfRule>
    <cfRule type="expression" dxfId="335" priority="1794" stopIfTrue="1">
      <formula>IF(DD8="Nâg PC TNVK cùng QĐ",1,0)</formula>
    </cfRule>
  </conditionalFormatting>
  <conditionalFormatting sqref="BU11:BU12">
    <cfRule type="expression" dxfId="334" priority="593" stopIfTrue="1">
      <formula>IF(BV11="Trên 45",1,0)</formula>
    </cfRule>
    <cfRule type="expression" dxfId="333" priority="594" stopIfTrue="1">
      <formula>IF(BV11="30 - 45",1,0)</formula>
    </cfRule>
    <cfRule type="expression" dxfId="332" priority="595" stopIfTrue="1">
      <formula>IF(BV11="Dưới 30",1,0)</formula>
    </cfRule>
  </conditionalFormatting>
  <conditionalFormatting sqref="DD11:DD13">
    <cfRule type="expression" dxfId="331" priority="591" stopIfTrue="1">
      <formula>IF(DE11&gt;0,1,0)</formula>
    </cfRule>
    <cfRule type="expression" dxfId="330" priority="592" stopIfTrue="1">
      <formula>IF(DE11=0,1,0)</formula>
    </cfRule>
  </conditionalFormatting>
  <conditionalFormatting sqref="DJ11:DJ13">
    <cfRule type="cellIs" dxfId="329" priority="588" stopIfTrue="1" operator="between">
      <formula>"Hưu"</formula>
      <formula>"Hưu"</formula>
    </cfRule>
    <cfRule type="cellIs" dxfId="328" priority="589" stopIfTrue="1" operator="between">
      <formula>"---"</formula>
      <formula>"---"</formula>
    </cfRule>
    <cfRule type="cellIs" dxfId="327" priority="590" stopIfTrue="1" operator="between">
      <formula>"Quá"</formula>
      <formula>"Quá"</formula>
    </cfRule>
  </conditionalFormatting>
  <conditionalFormatting sqref="DA11:DA13">
    <cfRule type="cellIs" dxfId="326" priority="585" stopIfTrue="1" operator="between">
      <formula>"Đến"</formula>
      <formula>"Đến"</formula>
    </cfRule>
    <cfRule type="cellIs" dxfId="325" priority="586" stopIfTrue="1" operator="between">
      <formula>"Quá"</formula>
      <formula>"Quá"</formula>
    </cfRule>
    <cfRule type="expression" dxfId="324" priority="587" stopIfTrue="1">
      <formula>IF(OR(DA11="Lương Sớm Hưu",DA11="Nâng Ngạch Hưu"),1,0)</formula>
    </cfRule>
  </conditionalFormatting>
  <conditionalFormatting sqref="DI11:DI13">
    <cfRule type="expression" dxfId="323" priority="582" stopIfTrue="1">
      <formula>IF(DI11="Nâg Ngạch sau TB",1,0)</formula>
    </cfRule>
    <cfRule type="expression" dxfId="322" priority="583" stopIfTrue="1">
      <formula>IF(DI11="Nâg Lươg Sớm sau TB",1,0)</formula>
    </cfRule>
    <cfRule type="expression" dxfId="321" priority="584" stopIfTrue="1">
      <formula>IF(DI11="Nâg PC TNVK cùng QĐ",1,0)</formula>
    </cfRule>
  </conditionalFormatting>
  <conditionalFormatting sqref="BU14">
    <cfRule type="expression" dxfId="320" priority="609" stopIfTrue="1">
      <formula>IF(BV14="Trên 45",1,0)</formula>
    </cfRule>
    <cfRule type="expression" dxfId="319" priority="610" stopIfTrue="1">
      <formula>IF(BV14="30 - 45",1,0)</formula>
    </cfRule>
    <cfRule type="expression" dxfId="318" priority="611" stopIfTrue="1">
      <formula>IF(BV14="Dưới 30",1,0)</formula>
    </cfRule>
  </conditionalFormatting>
  <conditionalFormatting sqref="DD14">
    <cfRule type="expression" dxfId="317" priority="607" stopIfTrue="1">
      <formula>IF(DE14&gt;0,1,0)</formula>
    </cfRule>
    <cfRule type="expression" dxfId="316" priority="608" stopIfTrue="1">
      <formula>IF(DE14=0,1,0)</formula>
    </cfRule>
  </conditionalFormatting>
  <conditionalFormatting sqref="DJ14 BL14">
    <cfRule type="cellIs" dxfId="315" priority="604" stopIfTrue="1" operator="between">
      <formula>"Hưu"</formula>
      <formula>"Hưu"</formula>
    </cfRule>
    <cfRule type="cellIs" dxfId="314" priority="605" stopIfTrue="1" operator="between">
      <formula>"---"</formula>
      <formula>"---"</formula>
    </cfRule>
    <cfRule type="cellIs" dxfId="313" priority="606" stopIfTrue="1" operator="between">
      <formula>"Quá"</formula>
      <formula>"Quá"</formula>
    </cfRule>
  </conditionalFormatting>
  <conditionalFormatting sqref="BD14 DA14">
    <cfRule type="cellIs" dxfId="312" priority="601" stopIfTrue="1" operator="between">
      <formula>"Đến"</formula>
      <formula>"Đến"</formula>
    </cfRule>
    <cfRule type="cellIs" dxfId="311" priority="602" stopIfTrue="1" operator="between">
      <formula>"Quá"</formula>
      <formula>"Quá"</formula>
    </cfRule>
    <cfRule type="expression" dxfId="310" priority="603" stopIfTrue="1">
      <formula>IF(OR(BD14="Lương Sớm Hưu",BD14="Nâng Ngạch Hưu"),1,0)</formula>
    </cfRule>
  </conditionalFormatting>
  <conditionalFormatting sqref="BK14 DI14">
    <cfRule type="expression" dxfId="309" priority="598" stopIfTrue="1">
      <formula>IF(BK14="Nâg Ngạch sau TB",1,0)</formula>
    </cfRule>
    <cfRule type="expression" dxfId="308" priority="599" stopIfTrue="1">
      <formula>IF(BK14="Nâg Lươg Sớm sau TB",1,0)</formula>
    </cfRule>
    <cfRule type="expression" dxfId="307" priority="600" stopIfTrue="1">
      <formula>IF(BK14="Nâg PC TNVK cùng QĐ",1,0)</formula>
    </cfRule>
  </conditionalFormatting>
  <conditionalFormatting sqref="A14">
    <cfRule type="expression" dxfId="306" priority="596" stopIfTrue="1">
      <formula>IF(#REF!="Hưu",1,0)</formula>
    </cfRule>
    <cfRule type="expression" dxfId="305" priority="597" stopIfTrue="1">
      <formula>IF(#REF!="Quá",1,0)</formula>
    </cfRule>
  </conditionalFormatting>
  <conditionalFormatting sqref="A11:A13">
    <cfRule type="expression" dxfId="304" priority="580" stopIfTrue="1">
      <formula>IF(#REF!="Hưu",1,0)</formula>
    </cfRule>
    <cfRule type="expression" dxfId="303" priority="581" stopIfTrue="1">
      <formula>IF(#REF!="Quá",1,0)</formula>
    </cfRule>
  </conditionalFormatting>
  <conditionalFormatting sqref="DK17:DK32 BJ17:BJ32">
    <cfRule type="cellIs" dxfId="175" priority="82" stopIfTrue="1" operator="between">
      <formula>"Hưu"</formula>
      <formula>"Hưu"</formula>
    </cfRule>
    <cfRule type="cellIs" dxfId="174" priority="83" stopIfTrue="1" operator="between">
      <formula>"---"</formula>
      <formula>"---"</formula>
    </cfRule>
    <cfRule type="cellIs" dxfId="173" priority="84" stopIfTrue="1" operator="between">
      <formula>"Quá"</formula>
      <formula>"Quá"</formula>
    </cfRule>
  </conditionalFormatting>
  <conditionalFormatting sqref="BD16 BB17:BB32 DB17:DB32">
    <cfRule type="cellIs" dxfId="172" priority="80" stopIfTrue="1" operator="between">
      <formula>"Đến"</formula>
      <formula>"Đến"</formula>
    </cfRule>
    <cfRule type="cellIs" dxfId="171" priority="81" stopIfTrue="1" operator="between">
      <formula>"Quá"</formula>
      <formula>"Quá"</formula>
    </cfRule>
  </conditionalFormatting>
  <conditionalFormatting sqref="BL16">
    <cfRule type="cellIs" dxfId="170" priority="77" stopIfTrue="1" operator="between">
      <formula>"Hưu"</formula>
      <formula>"Hưu"</formula>
    </cfRule>
    <cfRule type="cellIs" dxfId="169" priority="78" stopIfTrue="1" operator="between">
      <formula>"---"</formula>
      <formula>"---"</formula>
    </cfRule>
    <cfRule type="cellIs" dxfId="168" priority="79" stopIfTrue="1" operator="between">
      <formula>"Quá"</formula>
      <formula>"Quá"</formula>
    </cfRule>
  </conditionalFormatting>
  <conditionalFormatting sqref="BT16">
    <cfRule type="expression" dxfId="167" priority="74" stopIfTrue="1">
      <formula>IF(AND(#REF!&gt;0,#REF!&lt;5),1,0)</formula>
    </cfRule>
    <cfRule type="expression" dxfId="166" priority="75" stopIfTrue="1">
      <formula>IF(#REF!=5,1,0)</formula>
    </cfRule>
    <cfRule type="expression" dxfId="165" priority="76" stopIfTrue="1">
      <formula>IF(#REF!&gt;5,1,0)</formula>
    </cfRule>
  </conditionalFormatting>
  <conditionalFormatting sqref="BD16">
    <cfRule type="expression" dxfId="164" priority="73" stopIfTrue="1">
      <formula>IF(OR(#REF!="Lương Sớm Hưu",#REF!="Nâng Ngạch Hưu"),1,0)</formula>
    </cfRule>
  </conditionalFormatting>
  <conditionalFormatting sqref="BK16">
    <cfRule type="expression" dxfId="163" priority="70" stopIfTrue="1">
      <formula>IF(#REF!="Nâg Ngạch sau TB",1,0)</formula>
    </cfRule>
    <cfRule type="expression" dxfId="162" priority="71" stopIfTrue="1">
      <formula>IF(#REF!="Nâg Lươg Sớm sau TB",1,0)</formula>
    </cfRule>
    <cfRule type="expression" dxfId="161" priority="72" stopIfTrue="1">
      <formula>IF(#REF!="Nâg PC TNVK cùng QĐ",1,0)</formula>
    </cfRule>
  </conditionalFormatting>
  <conditionalFormatting sqref="BD33">
    <cfRule type="cellIs" dxfId="160" priority="68" stopIfTrue="1" operator="between">
      <formula>"Đến"</formula>
      <formula>"Đến"</formula>
    </cfRule>
    <cfRule type="cellIs" dxfId="159" priority="69" stopIfTrue="1" operator="between">
      <formula>"Quá"</formula>
      <formula>"Quá"</formula>
    </cfRule>
  </conditionalFormatting>
  <conditionalFormatting sqref="BL33">
    <cfRule type="cellIs" dxfId="158" priority="65" stopIfTrue="1" operator="between">
      <formula>"Hưu"</formula>
      <formula>"Hưu"</formula>
    </cfRule>
    <cfRule type="cellIs" dxfId="157" priority="66" stopIfTrue="1" operator="between">
      <formula>"---"</formula>
      <formula>"---"</formula>
    </cfRule>
    <cfRule type="cellIs" dxfId="156" priority="67" stopIfTrue="1" operator="between">
      <formula>"Quá"</formula>
      <formula>"Quá"</formula>
    </cfRule>
  </conditionalFormatting>
  <conditionalFormatting sqref="BT33">
    <cfRule type="expression" dxfId="155" priority="62" stopIfTrue="1">
      <formula>IF(AND(#REF!&gt;0,#REF!&lt;5),1,0)</formula>
    </cfRule>
    <cfRule type="expression" dxfId="154" priority="63" stopIfTrue="1">
      <formula>IF(#REF!=5,1,0)</formula>
    </cfRule>
    <cfRule type="expression" dxfId="153" priority="64" stopIfTrue="1">
      <formula>IF(#REF!&gt;5,1,0)</formula>
    </cfRule>
  </conditionalFormatting>
  <conditionalFormatting sqref="BD33">
    <cfRule type="expression" dxfId="152" priority="61" stopIfTrue="1">
      <formula>IF(OR(#REF!="Lương Sớm Hưu",#REF!="Nâng Ngạch Hưu"),1,0)</formula>
    </cfRule>
  </conditionalFormatting>
  <conditionalFormatting sqref="BK33">
    <cfRule type="expression" dxfId="151" priority="58" stopIfTrue="1">
      <formula>IF(#REF!="Nâg Ngạch sau TB",1,0)</formula>
    </cfRule>
    <cfRule type="expression" dxfId="150" priority="59" stopIfTrue="1">
      <formula>IF(#REF!="Nâg Lươg Sớm sau TB",1,0)</formula>
    </cfRule>
    <cfRule type="expression" dxfId="149" priority="60" stopIfTrue="1">
      <formula>IF(#REF!="Nâg PC TNVK cùng QĐ",1,0)</formula>
    </cfRule>
  </conditionalFormatting>
  <conditionalFormatting sqref="BR17:BR32">
    <cfRule type="expression" dxfId="148" priority="55" stopIfTrue="1">
      <formula>IF(AND(#REF!&gt;0,#REF!&lt;5),1,0)</formula>
    </cfRule>
    <cfRule type="expression" dxfId="147" priority="56" stopIfTrue="1">
      <formula>IF(#REF!=5,1,0)</formula>
    </cfRule>
    <cfRule type="expression" dxfId="146" priority="57" stopIfTrue="1">
      <formula>IF(#REF!&gt;5,1,0)</formula>
    </cfRule>
  </conditionalFormatting>
  <conditionalFormatting sqref="A17:A32">
    <cfRule type="expression" dxfId="145" priority="53" stopIfTrue="1">
      <formula>IF(#REF!="Hưu",1,0)</formula>
    </cfRule>
    <cfRule type="expression" dxfId="144" priority="54" stopIfTrue="1">
      <formula>IF(#REF!="Quá",1,0)</formula>
    </cfRule>
  </conditionalFormatting>
  <conditionalFormatting sqref="BE17:BE32 DE17:DE32">
    <cfRule type="expression" dxfId="143" priority="51" stopIfTrue="1">
      <formula>IF(#REF!&gt;0,1,0)</formula>
    </cfRule>
    <cfRule type="expression" dxfId="142" priority="52" stopIfTrue="1">
      <formula>IF(#REF!=0,1,0)</formula>
    </cfRule>
  </conditionalFormatting>
  <conditionalFormatting sqref="BB17:BB32">
    <cfRule type="expression" dxfId="141" priority="50" stopIfTrue="1">
      <formula>IF(OR(#REF!="Lương Sớm Hưu",#REF!="Nâng Ngạch Hưu"),1,0)</formula>
    </cfRule>
  </conditionalFormatting>
  <conditionalFormatting sqref="BI17:BI32 DJ17:DJ32">
    <cfRule type="expression" dxfId="140" priority="47" stopIfTrue="1">
      <formula>IF(#REF!="Nâg Ngạch sau TB",1,0)</formula>
    </cfRule>
    <cfRule type="expression" dxfId="139" priority="48" stopIfTrue="1">
      <formula>IF(#REF!="Nâg Lươg Sớm sau TB",1,0)</formula>
    </cfRule>
    <cfRule type="expression" dxfId="138" priority="49" stopIfTrue="1">
      <formula>IF(#REF!="Nâg PC TNVK cùng QĐ",1,0)</formula>
    </cfRule>
  </conditionalFormatting>
  <conditionalFormatting sqref="DB17:DB32">
    <cfRule type="expression" dxfId="137" priority="46" stopIfTrue="1">
      <formula>IF(OR(#REF!="Lương Sớm Hưu",#REF!="Nâng Ngạch Hưu"),1,0)</formula>
    </cfRule>
  </conditionalFormatting>
  <conditionalFormatting sqref="DN17:DN32">
    <cfRule type="expression" dxfId="136" priority="43" stopIfTrue="1">
      <formula>IF(FF17="Hưu",1,0)</formula>
    </cfRule>
    <cfRule type="expression" dxfId="135" priority="44" stopIfTrue="1">
      <formula>IF(FF17="Quá",1,0)</formula>
    </cfRule>
    <cfRule type="expression" dxfId="134" priority="45" stopIfTrue="1">
      <formula>IF(EN17="Lùi",1,0)</formula>
    </cfRule>
  </conditionalFormatting>
  <conditionalFormatting sqref="DU17:DU32">
    <cfRule type="expression" dxfId="133" priority="41" stopIfTrue="1">
      <formula>IF(FK17="Hưu",1,0)</formula>
    </cfRule>
    <cfRule type="expression" dxfId="132" priority="42" stopIfTrue="1">
      <formula>IF(FK17="Quá",1,0)</formula>
    </cfRule>
  </conditionalFormatting>
  <conditionalFormatting sqref="CU17:CU32">
    <cfRule type="cellIs" dxfId="131" priority="38" stopIfTrue="1" operator="between">
      <formula>"Hưu"</formula>
      <formula>"Hưu"</formula>
    </cfRule>
    <cfRule type="cellIs" dxfId="130" priority="39" stopIfTrue="1" operator="between">
      <formula>"---"</formula>
      <formula>"---"</formula>
    </cfRule>
    <cfRule type="cellIs" dxfId="129" priority="40" stopIfTrue="1" operator="between">
      <formula>"Quá"</formula>
      <formula>"Quá"</formula>
    </cfRule>
  </conditionalFormatting>
  <conditionalFormatting sqref="BF17:BF32">
    <cfRule type="cellIs" dxfId="128" priority="37" stopIfTrue="1" operator="between">
      <formula>4</formula>
      <formula>4</formula>
    </cfRule>
  </conditionalFormatting>
  <conditionalFormatting sqref="BE17:BE32">
    <cfRule type="expression" dxfId="127" priority="35" stopIfTrue="1">
      <formula>IF(BE17="Đến %",1,0)</formula>
    </cfRule>
    <cfRule type="expression" dxfId="126" priority="36" stopIfTrue="1">
      <formula>IF(BE17="Dừng %",1,0)</formula>
    </cfRule>
  </conditionalFormatting>
  <conditionalFormatting sqref="BW17:BW32">
    <cfRule type="cellIs" dxfId="125" priority="34" stopIfTrue="1" operator="between">
      <formula>0</formula>
      <formula>13</formula>
    </cfRule>
  </conditionalFormatting>
  <conditionalFormatting sqref="EC17:EC32">
    <cfRule type="expression" dxfId="124" priority="33" stopIfTrue="1">
      <formula>IF(EC17="Sửa",1,0)</formula>
    </cfRule>
  </conditionalFormatting>
  <conditionalFormatting sqref="BS17:BS32">
    <cfRule type="expression" dxfId="123" priority="32" stopIfTrue="1">
      <formula>IF(AND(BX17=0,OR($AA$4-BS17&gt;BX17,$AA$4-BS17&lt;BX17)),1,0)</formula>
    </cfRule>
  </conditionalFormatting>
  <conditionalFormatting sqref="BM17:BM32">
    <cfRule type="expression" dxfId="122" priority="31" stopIfTrue="1">
      <formula>IF(AND(BX17=0,BM17&gt;0),1,0)</formula>
    </cfRule>
  </conditionalFormatting>
  <conditionalFormatting sqref="BI17:BJ32">
    <cfRule type="expression" dxfId="121" priority="30" stopIfTrue="1">
      <formula>IF(AND(BR17=0,OR($AA$4-BI17&gt;BR17,$AA$4-BI17&lt;BR17)),1,0)</formula>
    </cfRule>
  </conditionalFormatting>
  <conditionalFormatting sqref="BQ17:BQ32">
    <cfRule type="expression" dxfId="120" priority="29" stopIfTrue="1">
      <formula>IF(AND(BN17=0,OR($AA$4-BQ17&gt;BN17,$AA$4-BQ17&lt;BN17)),1,0)</formula>
    </cfRule>
  </conditionalFormatting>
  <conditionalFormatting sqref="C17:C32">
    <cfRule type="expression" dxfId="119" priority="26" stopIfTrue="1">
      <formula>IF(CX17="Hưu",1,0)</formula>
    </cfRule>
    <cfRule type="expression" dxfId="118" priority="27" stopIfTrue="1">
      <formula>IF(CX17="Quá",1,0)</formula>
    </cfRule>
    <cfRule type="expression" dxfId="117" priority="28" stopIfTrue="1">
      <formula>IF(BC17="Lùi",1,0)</formula>
    </cfRule>
  </conditionalFormatting>
  <conditionalFormatting sqref="A17:A32">
    <cfRule type="expression" dxfId="116" priority="23" stopIfTrue="1">
      <formula>IF(CV17="Hưu",1,0)</formula>
    </cfRule>
    <cfRule type="expression" dxfId="115" priority="24" stopIfTrue="1">
      <formula>IF(CV17="Quá",1,0)</formula>
    </cfRule>
    <cfRule type="expression" dxfId="114" priority="25" stopIfTrue="1">
      <formula>IF(AM17="Lùi",1,0)</formula>
    </cfRule>
  </conditionalFormatting>
  <conditionalFormatting sqref="BJ34:BJ36 DK34:DK36">
    <cfRule type="cellIs" dxfId="113" priority="20" stopIfTrue="1" operator="between">
      <formula>"Hưu"</formula>
      <formula>"Hưu"</formula>
    </cfRule>
    <cfRule type="cellIs" dxfId="112" priority="21" stopIfTrue="1" operator="between">
      <formula>"---"</formula>
      <formula>"---"</formula>
    </cfRule>
    <cfRule type="cellIs" dxfId="111" priority="22" stopIfTrue="1" operator="between">
      <formula>"Quá"</formula>
      <formula>"Quá"</formula>
    </cfRule>
  </conditionalFormatting>
  <conditionalFormatting sqref="DB34:DB36 BB34:BB36">
    <cfRule type="cellIs" dxfId="110" priority="18" stopIfTrue="1" operator="between">
      <formula>"Đến"</formula>
      <formula>"Đến"</formula>
    </cfRule>
    <cfRule type="cellIs" dxfId="109" priority="19" stopIfTrue="1" operator="between">
      <formula>"Quá"</formula>
      <formula>"Quá"</formula>
    </cfRule>
  </conditionalFormatting>
  <conditionalFormatting sqref="BR34:BR36">
    <cfRule type="expression" dxfId="108" priority="15" stopIfTrue="1">
      <formula>IF(AND(#REF!&gt;0,#REF!&lt;5),1,0)</formula>
    </cfRule>
    <cfRule type="expression" dxfId="107" priority="16" stopIfTrue="1">
      <formula>IF(#REF!=5,1,0)</formula>
    </cfRule>
    <cfRule type="expression" dxfId="106" priority="17" stopIfTrue="1">
      <formula>IF(#REF!&gt;5,1,0)</formula>
    </cfRule>
  </conditionalFormatting>
  <conditionalFormatting sqref="A34:A36">
    <cfRule type="expression" dxfId="105" priority="13" stopIfTrue="1">
      <formula>IF(#REF!="Hưu",1,0)</formula>
    </cfRule>
    <cfRule type="expression" dxfId="104" priority="14" stopIfTrue="1">
      <formula>IF(#REF!="Quá",1,0)</formula>
    </cfRule>
  </conditionalFormatting>
  <conditionalFormatting sqref="BE34:BE36">
    <cfRule type="expression" dxfId="103" priority="11" stopIfTrue="1">
      <formula>IF(#REF!&gt;0,1,0)</formula>
    </cfRule>
    <cfRule type="expression" dxfId="102" priority="12" stopIfTrue="1">
      <formula>IF(#REF!=0,1,0)</formula>
    </cfRule>
  </conditionalFormatting>
  <conditionalFormatting sqref="BB34:BB36">
    <cfRule type="expression" dxfId="101" priority="10" stopIfTrue="1">
      <formula>IF(OR(#REF!="Lương Sớm Hưu",#REF!="Nâng Ngạch Hưu"),1,0)</formula>
    </cfRule>
  </conditionalFormatting>
  <conditionalFormatting sqref="BI34:BI36">
    <cfRule type="expression" dxfId="100" priority="7" stopIfTrue="1">
      <formula>IF(#REF!="Nâg Ngạch sau TB",1,0)</formula>
    </cfRule>
    <cfRule type="expression" dxfId="99" priority="8" stopIfTrue="1">
      <formula>IF(#REF!="Nâg Lươg Sớm sau TB",1,0)</formula>
    </cfRule>
    <cfRule type="expression" dxfId="98" priority="9" stopIfTrue="1">
      <formula>IF(#REF!="Nâg PC TNVK cùng QĐ",1,0)</formula>
    </cfRule>
  </conditionalFormatting>
  <conditionalFormatting sqref="DE34:DE36">
    <cfRule type="expression" dxfId="97" priority="5" stopIfTrue="1">
      <formula>IF(#REF!&gt;0,1,0)</formula>
    </cfRule>
    <cfRule type="expression" dxfId="96" priority="6" stopIfTrue="1">
      <formula>IF(#REF!=0,1,0)</formula>
    </cfRule>
  </conditionalFormatting>
  <conditionalFormatting sqref="DB34:DB36">
    <cfRule type="expression" dxfId="95" priority="4" stopIfTrue="1">
      <formula>IF(OR(#REF!="Lương Sớm Hưu",#REF!="Nâng Ngạch Hưu"),1,0)</formula>
    </cfRule>
  </conditionalFormatting>
  <conditionalFormatting sqref="DJ34:DJ36">
    <cfRule type="expression" dxfId="94" priority="1" stopIfTrue="1">
      <formula>IF(#REF!="Nâg Ngạch sau TB",1,0)</formula>
    </cfRule>
    <cfRule type="expression" dxfId="93" priority="2" stopIfTrue="1">
      <formula>IF(#REF!="Nâg Lươg Sớm sau TB",1,0)</formula>
    </cfRule>
    <cfRule type="expression" dxfId="92" priority="3" stopIfTrue="1">
      <formula>IF(#REF!="Nâg PC TNVK cùng QĐ",1,0)</formula>
    </cfRule>
  </conditionalFormatting>
  <pageMargins left="0.42" right="0.27" top="0.41" bottom="0.37" header="0.17" footer="0.17"/>
  <pageSetup paperSize="9" orientation="landscape" r:id="rId1"/>
  <headerFooter alignWithMargins="0">
    <oddHeader>&amp;R&amp;"Arial,Bold"&amp;14&amp;UBIỂU 1- TB</oddHead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X74"/>
  <sheetViews>
    <sheetView showGridLines="0" tabSelected="1" showRuler="0" view="pageBreakPreview" topLeftCell="B38" zoomScaleNormal="100" zoomScaleSheetLayoutView="100" zoomScalePageLayoutView="85" workbookViewId="0">
      <selection activeCell="R47" sqref="R47"/>
    </sheetView>
  </sheetViews>
  <sheetFormatPr defaultRowHeight="12.75" x14ac:dyDescent="0.2"/>
  <cols>
    <col min="1" max="1" width="0.85546875" style="217" hidden="1" customWidth="1"/>
    <col min="2" max="2" width="4.5703125" style="592" customWidth="1"/>
    <col min="3" max="3" width="0.140625" style="592" hidden="1" customWidth="1"/>
    <col min="4" max="4" width="5.85546875" style="592" hidden="1" customWidth="1"/>
    <col min="5" max="5" width="16.7109375" style="592" customWidth="1"/>
    <col min="6" max="6" width="4.85546875" style="592" customWidth="1"/>
    <col min="7" max="7" width="2.85546875" style="592" hidden="1" customWidth="1"/>
    <col min="8" max="8" width="4.7109375" style="592" hidden="1" customWidth="1"/>
    <col min="9" max="9" width="3" style="592" hidden="1" customWidth="1"/>
    <col min="10" max="10" width="3.140625" style="592" hidden="1" customWidth="1"/>
    <col min="11" max="14" width="2.5703125" style="592" hidden="1" customWidth="1"/>
    <col min="15" max="15" width="3.7109375" style="592" hidden="1" customWidth="1"/>
    <col min="16" max="17" width="4" style="592" hidden="1" customWidth="1"/>
    <col min="18" max="18" width="16.42578125" style="152" customWidth="1"/>
    <col min="19" max="19" width="20.28515625" style="161" customWidth="1"/>
    <col min="20" max="20" width="1.85546875" style="592" hidden="1" customWidth="1"/>
    <col min="21" max="22" width="4.5703125" style="592" hidden="1" customWidth="1"/>
    <col min="23" max="23" width="15.28515625" style="546" customWidth="1"/>
    <col min="24" max="24" width="10.42578125" style="492" customWidth="1"/>
    <col min="25" max="25" width="17.28515625" style="592" hidden="1" customWidth="1"/>
    <col min="26" max="26" width="8.85546875" style="592" hidden="1" customWidth="1"/>
    <col min="27" max="27" width="6" style="592" hidden="1" customWidth="1"/>
    <col min="28" max="28" width="3.42578125" style="592" hidden="1" customWidth="1"/>
    <col min="29" max="29" width="1.42578125" style="592" hidden="1" customWidth="1"/>
    <col min="30" max="30" width="3.7109375" style="592" hidden="1" customWidth="1"/>
    <col min="31" max="37" width="5.85546875" style="492" hidden="1" customWidth="1"/>
    <col min="38" max="40" width="2.42578125" style="492" hidden="1" customWidth="1"/>
    <col min="41" max="41" width="3.28515625" style="592" hidden="1" customWidth="1"/>
    <col min="42" max="42" width="1.28515625" style="592" hidden="1" customWidth="1"/>
    <col min="43" max="43" width="3.42578125" style="592" hidden="1" customWidth="1"/>
    <col min="44" max="45" width="7" style="592" hidden="1" customWidth="1"/>
    <col min="46" max="46" width="3.7109375" style="592" hidden="1" customWidth="1"/>
    <col min="47" max="47" width="1.7109375" style="592" hidden="1" customWidth="1"/>
    <col min="48" max="48" width="3.140625" style="592" hidden="1" customWidth="1"/>
    <col min="49" max="49" width="1.7109375" style="592" hidden="1" customWidth="1"/>
    <col min="50" max="50" width="6.42578125" style="592" hidden="1" customWidth="1"/>
    <col min="51" max="51" width="9.140625" style="592" hidden="1" customWidth="1"/>
    <col min="52" max="52" width="7" style="592" hidden="1" customWidth="1"/>
    <col min="53" max="53" width="5.5703125" style="592" hidden="1" customWidth="1"/>
    <col min="54" max="56" width="9.140625" style="592" hidden="1" customWidth="1"/>
    <col min="57" max="57" width="7.5703125" style="492" hidden="1" customWidth="1"/>
    <col min="58" max="58" width="3.42578125" style="592" customWidth="1"/>
    <col min="59" max="59" width="2.85546875" style="592" customWidth="1"/>
    <col min="60" max="60" width="2.5703125" style="592" hidden="1" customWidth="1"/>
    <col min="61" max="61" width="0.85546875" style="151" hidden="1" customWidth="1"/>
    <col min="62" max="62" width="4" style="88" customWidth="1"/>
    <col min="63" max="63" width="0.85546875" style="151" customWidth="1"/>
    <col min="64" max="64" width="4.28515625" style="151" customWidth="1"/>
    <col min="65" max="65" width="6" style="417" customWidth="1"/>
    <col min="66" max="66" width="9.28515625" style="151" customWidth="1"/>
    <col min="67" max="67" width="3.42578125" style="592" customWidth="1"/>
    <col min="68" max="68" width="3.140625" style="592" customWidth="1"/>
    <col min="69" max="69" width="3.140625" style="88" hidden="1" customWidth="1"/>
    <col min="70" max="70" width="0.85546875" style="151" hidden="1" customWidth="1"/>
    <col min="71" max="71" width="3" style="492" customWidth="1"/>
    <col min="72" max="72" width="0.85546875" style="151" customWidth="1"/>
    <col min="73" max="73" width="4.28515625" style="151" customWidth="1"/>
    <col min="74" max="74" width="7.5703125" style="592" customWidth="1"/>
    <col min="75" max="75" width="9.140625" style="622" hidden="1" customWidth="1"/>
    <col min="76" max="76" width="7.42578125" style="638" hidden="1" customWidth="1"/>
    <col min="77" max="77" width="9.140625" style="638" hidden="1" customWidth="1"/>
    <col min="78" max="79" width="9.140625" style="634" hidden="1" customWidth="1"/>
    <col min="80" max="80" width="7.42578125" style="634" hidden="1" customWidth="1"/>
    <col min="81" max="82" width="0" style="634" hidden="1" customWidth="1"/>
    <col min="83" max="83" width="10.28515625" style="417" hidden="1" customWidth="1"/>
    <col min="84" max="84" width="13.85546875" style="417" hidden="1" customWidth="1"/>
    <col min="85" max="86" width="0" style="634" hidden="1" customWidth="1"/>
    <col min="87" max="87" width="13.85546875" style="634" hidden="1" customWidth="1"/>
    <col min="88" max="95" width="0" style="634" hidden="1" customWidth="1"/>
    <col min="96" max="105" width="0" style="610" hidden="1" customWidth="1"/>
    <col min="106" max="171" width="0" style="217" hidden="1" customWidth="1"/>
    <col min="172" max="216" width="9.140625" style="612"/>
    <col min="217" max="232" width="9.140625" style="419"/>
    <col min="233" max="16384" width="9.140625" style="217"/>
  </cols>
  <sheetData>
    <row r="1" spans="1:232" s="89" customFormat="1" ht="18" customHeight="1" x14ac:dyDescent="0.2">
      <c r="A1" s="1"/>
      <c r="B1" s="833" t="s">
        <v>71</v>
      </c>
      <c r="C1" s="833"/>
      <c r="D1" s="833"/>
      <c r="E1" s="833"/>
      <c r="F1" s="833"/>
      <c r="G1" s="833"/>
      <c r="H1" s="833"/>
      <c r="I1" s="833"/>
      <c r="J1" s="833"/>
      <c r="K1" s="833"/>
      <c r="L1" s="833"/>
      <c r="M1" s="833"/>
      <c r="N1" s="833"/>
      <c r="O1" s="833"/>
      <c r="P1" s="833"/>
      <c r="Q1" s="833"/>
      <c r="R1" s="833"/>
      <c r="S1" s="834" t="s">
        <v>16</v>
      </c>
      <c r="T1" s="834"/>
      <c r="U1" s="834"/>
      <c r="V1" s="834"/>
      <c r="W1" s="834"/>
      <c r="X1" s="834"/>
      <c r="Y1" s="834"/>
      <c r="Z1" s="834"/>
      <c r="AA1" s="834"/>
      <c r="AB1" s="834"/>
      <c r="AC1" s="834"/>
      <c r="AD1" s="834"/>
      <c r="AE1" s="834"/>
      <c r="AF1" s="834"/>
      <c r="AG1" s="834"/>
      <c r="AH1" s="834"/>
      <c r="AI1" s="834"/>
      <c r="AJ1" s="834"/>
      <c r="AK1" s="834"/>
      <c r="AL1" s="834"/>
      <c r="AM1" s="834"/>
      <c r="AN1" s="834"/>
      <c r="AO1" s="834"/>
      <c r="AP1" s="834"/>
      <c r="AQ1" s="834"/>
      <c r="AR1" s="834"/>
      <c r="AS1" s="834"/>
      <c r="AT1" s="834"/>
      <c r="AU1" s="834"/>
      <c r="AV1" s="834"/>
      <c r="AW1" s="834"/>
      <c r="AX1" s="834"/>
      <c r="AY1" s="834"/>
      <c r="AZ1" s="834"/>
      <c r="BA1" s="834"/>
      <c r="BB1" s="834"/>
      <c r="BC1" s="834"/>
      <c r="BD1" s="834"/>
      <c r="BE1" s="834"/>
      <c r="BF1" s="834"/>
      <c r="BG1" s="834"/>
      <c r="BH1" s="834"/>
      <c r="BI1" s="834"/>
      <c r="BJ1" s="834"/>
      <c r="BK1" s="834"/>
      <c r="BL1" s="834"/>
      <c r="BM1" s="834"/>
      <c r="BN1" s="834"/>
      <c r="BO1" s="834"/>
      <c r="BP1" s="834"/>
      <c r="BQ1" s="834"/>
      <c r="BR1" s="834"/>
      <c r="BS1" s="834"/>
      <c r="BT1" s="834"/>
      <c r="BU1" s="834"/>
      <c r="BW1" s="622"/>
      <c r="BX1" s="623"/>
      <c r="BY1" s="623"/>
      <c r="BZ1" s="624"/>
      <c r="CA1" s="624"/>
      <c r="CB1" s="624"/>
      <c r="CC1" s="624"/>
      <c r="CD1" s="624"/>
      <c r="CE1" s="625"/>
      <c r="CF1" s="625"/>
      <c r="CG1" s="624"/>
      <c r="CH1" s="624"/>
      <c r="CI1" s="624"/>
      <c r="CJ1" s="624"/>
      <c r="CK1" s="624"/>
      <c r="CL1" s="624"/>
      <c r="CM1" s="624"/>
      <c r="CN1" s="624"/>
      <c r="CO1" s="624"/>
      <c r="CP1" s="624"/>
      <c r="CQ1" s="624"/>
      <c r="CR1" s="606"/>
      <c r="CS1" s="606"/>
      <c r="CT1" s="606"/>
      <c r="CU1" s="606"/>
      <c r="CV1" s="606"/>
      <c r="CW1" s="606"/>
      <c r="CX1" s="606"/>
      <c r="CY1" s="606"/>
      <c r="CZ1" s="606"/>
      <c r="DA1" s="606"/>
      <c r="FP1" s="605"/>
      <c r="FQ1" s="605"/>
      <c r="FR1" s="605"/>
      <c r="FS1" s="605"/>
      <c r="FT1" s="605"/>
      <c r="FU1" s="605"/>
      <c r="FV1" s="605"/>
      <c r="FW1" s="605"/>
      <c r="FX1" s="605"/>
      <c r="FY1" s="605"/>
      <c r="FZ1" s="605"/>
      <c r="GA1" s="605"/>
      <c r="GB1" s="605"/>
      <c r="GC1" s="605"/>
      <c r="GD1" s="605"/>
      <c r="GE1" s="605"/>
      <c r="GF1" s="605"/>
      <c r="GG1" s="605"/>
      <c r="GH1" s="605"/>
      <c r="GI1" s="605"/>
      <c r="GJ1" s="605"/>
      <c r="GK1" s="605"/>
      <c r="GL1" s="605"/>
      <c r="GM1" s="605"/>
      <c r="GN1" s="605"/>
      <c r="GO1" s="605"/>
      <c r="GP1" s="605"/>
      <c r="GQ1" s="605"/>
      <c r="GR1" s="605"/>
      <c r="GS1" s="605"/>
      <c r="GT1" s="605"/>
      <c r="GU1" s="605"/>
      <c r="GV1" s="605"/>
      <c r="GW1" s="605"/>
      <c r="GX1" s="605"/>
      <c r="GY1" s="605"/>
      <c r="GZ1" s="605"/>
      <c r="HA1" s="605"/>
      <c r="HB1" s="605"/>
      <c r="HC1" s="605"/>
      <c r="HD1" s="605"/>
      <c r="HE1" s="605"/>
      <c r="HF1" s="605"/>
      <c r="HG1" s="605"/>
      <c r="HH1" s="605"/>
      <c r="HI1" s="138"/>
      <c r="HJ1" s="138"/>
      <c r="HK1" s="138"/>
      <c r="HL1" s="138"/>
      <c r="HM1" s="138"/>
      <c r="HN1" s="138"/>
      <c r="HO1" s="138"/>
      <c r="HP1" s="138"/>
      <c r="HQ1" s="138"/>
      <c r="HR1" s="138"/>
      <c r="HS1" s="138"/>
      <c r="HT1" s="138"/>
      <c r="HU1" s="138"/>
      <c r="HV1" s="138"/>
      <c r="HW1" s="138"/>
      <c r="HX1" s="138"/>
    </row>
    <row r="2" spans="1:232" s="89" customFormat="1" ht="15.75" customHeight="1" x14ac:dyDescent="0.25">
      <c r="B2" s="834" t="s">
        <v>6</v>
      </c>
      <c r="C2" s="834"/>
      <c r="D2" s="834"/>
      <c r="E2" s="834"/>
      <c r="F2" s="834"/>
      <c r="G2" s="834"/>
      <c r="H2" s="834"/>
      <c r="I2" s="834"/>
      <c r="J2" s="834"/>
      <c r="K2" s="834"/>
      <c r="L2" s="834"/>
      <c r="M2" s="834"/>
      <c r="N2" s="834"/>
      <c r="O2" s="834"/>
      <c r="P2" s="834"/>
      <c r="Q2" s="834"/>
      <c r="R2" s="834"/>
      <c r="S2" s="835" t="s">
        <v>17</v>
      </c>
      <c r="T2" s="835"/>
      <c r="U2" s="835"/>
      <c r="V2" s="835"/>
      <c r="W2" s="835"/>
      <c r="X2" s="835"/>
      <c r="Y2" s="835"/>
      <c r="Z2" s="835"/>
      <c r="AA2" s="835"/>
      <c r="AB2" s="835"/>
      <c r="AC2" s="835"/>
      <c r="AD2" s="835"/>
      <c r="AE2" s="835"/>
      <c r="AF2" s="835"/>
      <c r="AG2" s="835"/>
      <c r="AH2" s="835"/>
      <c r="AI2" s="835"/>
      <c r="AJ2" s="835"/>
      <c r="AK2" s="835"/>
      <c r="AL2" s="835"/>
      <c r="AM2" s="835"/>
      <c r="AN2" s="835"/>
      <c r="AO2" s="835"/>
      <c r="AP2" s="835"/>
      <c r="AQ2" s="835"/>
      <c r="AR2" s="835"/>
      <c r="AS2" s="835"/>
      <c r="AT2" s="835"/>
      <c r="AU2" s="835"/>
      <c r="AV2" s="835"/>
      <c r="AW2" s="835"/>
      <c r="AX2" s="835"/>
      <c r="AY2" s="835"/>
      <c r="AZ2" s="835"/>
      <c r="BA2" s="835"/>
      <c r="BB2" s="835"/>
      <c r="BC2" s="835"/>
      <c r="BD2" s="835"/>
      <c r="BE2" s="835"/>
      <c r="BF2" s="835"/>
      <c r="BG2" s="835"/>
      <c r="BH2" s="835"/>
      <c r="BI2" s="835"/>
      <c r="BJ2" s="835"/>
      <c r="BK2" s="835"/>
      <c r="BL2" s="835"/>
      <c r="BM2" s="835"/>
      <c r="BN2" s="835"/>
      <c r="BO2" s="835"/>
      <c r="BP2" s="835"/>
      <c r="BQ2" s="835"/>
      <c r="BR2" s="835"/>
      <c r="BS2" s="835"/>
      <c r="BT2" s="835"/>
      <c r="BU2" s="835"/>
      <c r="BW2" s="622"/>
      <c r="BX2" s="623"/>
      <c r="BY2" s="623"/>
      <c r="BZ2" s="624"/>
      <c r="CA2" s="624"/>
      <c r="CB2" s="624"/>
      <c r="CC2" s="624"/>
      <c r="CD2" s="624"/>
      <c r="CE2" s="625"/>
      <c r="CF2" s="625"/>
      <c r="CG2" s="624"/>
      <c r="CH2" s="624"/>
      <c r="CI2" s="624"/>
      <c r="CJ2" s="624"/>
      <c r="CK2" s="624"/>
      <c r="CL2" s="624"/>
      <c r="CM2" s="624"/>
      <c r="CN2" s="624"/>
      <c r="CO2" s="624"/>
      <c r="CP2" s="624"/>
      <c r="CQ2" s="624"/>
      <c r="CR2" s="606"/>
      <c r="CS2" s="606"/>
      <c r="CT2" s="606"/>
      <c r="CU2" s="606"/>
      <c r="CV2" s="606"/>
      <c r="CW2" s="606"/>
      <c r="CX2" s="606"/>
      <c r="CY2" s="606"/>
      <c r="CZ2" s="606"/>
      <c r="DA2" s="606"/>
      <c r="FP2" s="605"/>
      <c r="FQ2" s="605"/>
      <c r="FR2" s="605"/>
      <c r="FS2" s="605"/>
      <c r="FT2" s="605"/>
      <c r="FU2" s="605"/>
      <c r="FV2" s="605"/>
      <c r="FW2" s="605"/>
      <c r="FX2" s="605"/>
      <c r="FY2" s="605"/>
      <c r="FZ2" s="605"/>
      <c r="GA2" s="605"/>
      <c r="GB2" s="605"/>
      <c r="GC2" s="605"/>
      <c r="GD2" s="605"/>
      <c r="GE2" s="605"/>
      <c r="GF2" s="605"/>
      <c r="GG2" s="605"/>
      <c r="GH2" s="605"/>
      <c r="GI2" s="605"/>
      <c r="GJ2" s="605"/>
      <c r="GK2" s="605"/>
      <c r="GL2" s="605"/>
      <c r="GM2" s="605"/>
      <c r="GN2" s="605"/>
      <c r="GO2" s="605"/>
      <c r="GP2" s="605"/>
      <c r="GQ2" s="605"/>
      <c r="GR2" s="605"/>
      <c r="GS2" s="605"/>
      <c r="GT2" s="605"/>
      <c r="GU2" s="605"/>
      <c r="GV2" s="605"/>
      <c r="GW2" s="605"/>
      <c r="GX2" s="605"/>
      <c r="GY2" s="605"/>
      <c r="GZ2" s="605"/>
      <c r="HA2" s="605"/>
      <c r="HB2" s="605"/>
      <c r="HC2" s="605"/>
      <c r="HD2" s="605"/>
      <c r="HE2" s="605"/>
      <c r="HF2" s="605"/>
      <c r="HG2" s="605"/>
      <c r="HH2" s="605"/>
      <c r="HI2" s="138"/>
      <c r="HJ2" s="138"/>
      <c r="HK2" s="138"/>
      <c r="HL2" s="138"/>
      <c r="HM2" s="138"/>
      <c r="HN2" s="138"/>
      <c r="HO2" s="138"/>
      <c r="HP2" s="138"/>
      <c r="HQ2" s="138"/>
      <c r="HR2" s="138"/>
      <c r="HS2" s="138"/>
      <c r="HT2" s="138"/>
      <c r="HU2" s="138"/>
      <c r="HV2" s="138"/>
      <c r="HW2" s="138"/>
      <c r="HX2" s="138"/>
    </row>
    <row r="3" spans="1:232" s="85" customFormat="1" ht="3.75" customHeight="1" x14ac:dyDescent="0.3">
      <c r="A3" s="86"/>
      <c r="B3" s="592"/>
      <c r="C3" s="86"/>
      <c r="D3" s="86"/>
      <c r="E3" s="46"/>
      <c r="F3" s="47"/>
      <c r="G3" s="47"/>
      <c r="H3" s="47"/>
      <c r="I3" s="47"/>
      <c r="J3" s="48"/>
      <c r="K3" s="49"/>
      <c r="L3" s="49"/>
      <c r="M3" s="49"/>
      <c r="N3" s="49"/>
      <c r="O3" s="49"/>
      <c r="P3" s="49"/>
      <c r="Q3" s="49"/>
      <c r="R3" s="32"/>
      <c r="S3" s="161"/>
      <c r="T3" s="46"/>
      <c r="U3" s="46"/>
      <c r="V3" s="46"/>
      <c r="W3" s="197"/>
      <c r="X3" s="45"/>
      <c r="Y3" s="45"/>
      <c r="Z3" s="47"/>
      <c r="AA3" s="592"/>
      <c r="AB3" s="592"/>
      <c r="AC3" s="592"/>
      <c r="AD3" s="592"/>
      <c r="AE3" s="492"/>
      <c r="AF3" s="492"/>
      <c r="AG3" s="492"/>
      <c r="AH3" s="492"/>
      <c r="AI3" s="492"/>
      <c r="AJ3" s="492"/>
      <c r="AK3" s="492"/>
      <c r="AL3" s="492"/>
      <c r="AM3" s="492"/>
      <c r="AN3" s="492"/>
      <c r="AO3" s="592"/>
      <c r="AP3" s="592"/>
      <c r="AQ3" s="592"/>
      <c r="AR3" s="592"/>
      <c r="AS3" s="592"/>
      <c r="AT3" s="592"/>
      <c r="AU3" s="592"/>
      <c r="AV3" s="592"/>
      <c r="AW3" s="592"/>
      <c r="AX3" s="592"/>
      <c r="AY3" s="49"/>
      <c r="AZ3" s="592"/>
      <c r="BA3" s="592"/>
      <c r="BE3" s="216"/>
      <c r="BG3" s="592"/>
      <c r="BH3" s="592"/>
      <c r="BI3" s="151"/>
      <c r="BJ3" s="50"/>
      <c r="BK3" s="407"/>
      <c r="BL3" s="151"/>
      <c r="BM3" s="417"/>
      <c r="BN3" s="151"/>
      <c r="BR3" s="149"/>
      <c r="BS3" s="213"/>
      <c r="BT3" s="407"/>
      <c r="BU3" s="151"/>
      <c r="BW3" s="626"/>
      <c r="BX3" s="627"/>
      <c r="BY3" s="627"/>
      <c r="BZ3" s="628"/>
      <c r="CA3" s="628"/>
      <c r="CB3" s="628"/>
      <c r="CC3" s="628"/>
      <c r="CD3" s="628"/>
      <c r="CE3" s="544"/>
      <c r="CF3" s="544"/>
      <c r="CG3" s="628"/>
      <c r="CH3" s="628"/>
      <c r="CI3" s="629"/>
      <c r="CJ3" s="628"/>
      <c r="CK3" s="628"/>
      <c r="CL3" s="628"/>
      <c r="CM3" s="628"/>
      <c r="CN3" s="628"/>
      <c r="CO3" s="628"/>
      <c r="CP3" s="628"/>
      <c r="CQ3" s="628"/>
      <c r="CR3" s="608"/>
      <c r="CS3" s="608"/>
      <c r="CT3" s="608"/>
      <c r="CU3" s="608"/>
      <c r="CV3" s="608"/>
      <c r="CW3" s="608"/>
      <c r="CX3" s="608"/>
      <c r="CY3" s="608"/>
      <c r="CZ3" s="608"/>
      <c r="DA3" s="608"/>
      <c r="FP3" s="607"/>
      <c r="FQ3" s="607"/>
      <c r="FR3" s="607"/>
      <c r="FS3" s="607"/>
      <c r="FT3" s="607"/>
      <c r="FU3" s="607"/>
      <c r="FV3" s="607"/>
      <c r="FW3" s="607"/>
      <c r="FX3" s="607"/>
      <c r="FY3" s="607"/>
      <c r="FZ3" s="607"/>
      <c r="GA3" s="607"/>
      <c r="GB3" s="607"/>
      <c r="GC3" s="607"/>
      <c r="GD3" s="607"/>
      <c r="GE3" s="607"/>
      <c r="GF3" s="607"/>
      <c r="GG3" s="607"/>
      <c r="GH3" s="607"/>
      <c r="GI3" s="607"/>
      <c r="GJ3" s="607"/>
      <c r="GK3" s="607"/>
      <c r="GL3" s="607"/>
      <c r="GM3" s="607"/>
      <c r="GN3" s="607"/>
      <c r="GO3" s="607"/>
      <c r="GP3" s="607"/>
      <c r="GQ3" s="607"/>
      <c r="GR3" s="607"/>
      <c r="GS3" s="607"/>
      <c r="GT3" s="607"/>
      <c r="GU3" s="607"/>
      <c r="GV3" s="607"/>
      <c r="GW3" s="607"/>
      <c r="GX3" s="607"/>
      <c r="GY3" s="607"/>
      <c r="GZ3" s="607"/>
      <c r="HA3" s="607"/>
      <c r="HB3" s="607"/>
      <c r="HC3" s="607"/>
      <c r="HD3" s="607"/>
      <c r="HE3" s="607"/>
      <c r="HF3" s="607"/>
      <c r="HG3" s="607"/>
      <c r="HH3" s="607"/>
      <c r="HI3" s="50"/>
      <c r="HJ3" s="50"/>
      <c r="HK3" s="50"/>
      <c r="HL3" s="50"/>
      <c r="HM3" s="50"/>
      <c r="HN3" s="50"/>
      <c r="HO3" s="50"/>
      <c r="HP3" s="50"/>
      <c r="HQ3" s="50"/>
      <c r="HR3" s="50"/>
      <c r="HS3" s="50"/>
      <c r="HT3" s="50"/>
      <c r="HU3" s="50"/>
      <c r="HV3" s="50"/>
      <c r="HW3" s="50"/>
      <c r="HX3" s="50"/>
    </row>
    <row r="4" spans="1:232" s="173" customFormat="1" ht="25.5" customHeight="1" x14ac:dyDescent="0.25">
      <c r="A4" s="75"/>
      <c r="B4" s="75"/>
      <c r="C4" s="75"/>
      <c r="D4" s="168"/>
      <c r="E4" s="75"/>
      <c r="F4" s="169"/>
      <c r="G4" s="75"/>
      <c r="H4" s="75"/>
      <c r="I4" s="75"/>
      <c r="J4" s="75"/>
      <c r="K4" s="75"/>
      <c r="L4" s="75"/>
      <c r="M4" s="75"/>
      <c r="N4" s="75"/>
      <c r="O4" s="75"/>
      <c r="P4" s="75"/>
      <c r="Q4" s="168"/>
      <c r="R4" s="170"/>
      <c r="S4" s="791" t="s">
        <v>298</v>
      </c>
      <c r="T4" s="791"/>
      <c r="U4" s="791"/>
      <c r="V4" s="791"/>
      <c r="W4" s="791"/>
      <c r="X4" s="791"/>
      <c r="Y4" s="791"/>
      <c r="Z4" s="791"/>
      <c r="AA4" s="791"/>
      <c r="AB4" s="791"/>
      <c r="AC4" s="791"/>
      <c r="AD4" s="791"/>
      <c r="AE4" s="791"/>
      <c r="AF4" s="791"/>
      <c r="AG4" s="791"/>
      <c r="AH4" s="791"/>
      <c r="AI4" s="791"/>
      <c r="AJ4" s="791"/>
      <c r="AK4" s="791"/>
      <c r="AL4" s="791"/>
      <c r="AM4" s="791"/>
      <c r="AN4" s="791"/>
      <c r="AO4" s="791"/>
      <c r="AP4" s="791"/>
      <c r="AQ4" s="791"/>
      <c r="AR4" s="791"/>
      <c r="AS4" s="791"/>
      <c r="AT4" s="791"/>
      <c r="AU4" s="791"/>
      <c r="AV4" s="791"/>
      <c r="AW4" s="791"/>
      <c r="AX4" s="791"/>
      <c r="AY4" s="791"/>
      <c r="AZ4" s="791"/>
      <c r="BA4" s="791"/>
      <c r="BB4" s="791"/>
      <c r="BC4" s="791"/>
      <c r="BD4" s="791"/>
      <c r="BE4" s="791"/>
      <c r="BF4" s="791"/>
      <c r="BG4" s="791"/>
      <c r="BH4" s="791"/>
      <c r="BI4" s="791"/>
      <c r="BJ4" s="791"/>
      <c r="BK4" s="791"/>
      <c r="BL4" s="791"/>
      <c r="BM4" s="791"/>
      <c r="BN4" s="791"/>
      <c r="BO4" s="791"/>
      <c r="BP4" s="791"/>
      <c r="BQ4" s="791"/>
      <c r="BR4" s="791"/>
      <c r="BS4" s="791"/>
      <c r="BT4" s="791"/>
      <c r="BU4" s="791"/>
      <c r="BW4" s="630"/>
      <c r="BX4" s="631"/>
      <c r="BY4" s="631"/>
      <c r="BZ4" s="631"/>
      <c r="CA4" s="631"/>
      <c r="CB4" s="631"/>
      <c r="CC4" s="631"/>
      <c r="CD4" s="631"/>
      <c r="CE4" s="631"/>
      <c r="CF4" s="631"/>
      <c r="CG4" s="631"/>
      <c r="CH4" s="631"/>
      <c r="CI4" s="631"/>
      <c r="CJ4" s="631"/>
      <c r="CK4" s="631"/>
      <c r="CL4" s="631"/>
      <c r="CM4" s="631"/>
      <c r="CN4" s="631"/>
      <c r="CO4" s="631"/>
      <c r="CP4" s="631"/>
      <c r="CQ4" s="631"/>
      <c r="CR4" s="609"/>
      <c r="CS4" s="609"/>
      <c r="CT4" s="609"/>
      <c r="CU4" s="609"/>
      <c r="CV4" s="609"/>
      <c r="CW4" s="609"/>
      <c r="CX4" s="609"/>
      <c r="CY4" s="609"/>
      <c r="CZ4" s="609"/>
      <c r="DA4" s="609"/>
      <c r="FP4" s="683"/>
      <c r="FQ4" s="683"/>
      <c r="FR4" s="683"/>
      <c r="FS4" s="683"/>
      <c r="FT4" s="683"/>
      <c r="FU4" s="683"/>
      <c r="FV4" s="683"/>
      <c r="FW4" s="683"/>
      <c r="FX4" s="683"/>
      <c r="FY4" s="683"/>
      <c r="FZ4" s="683"/>
      <c r="GA4" s="683"/>
      <c r="GB4" s="683"/>
      <c r="GC4" s="683"/>
      <c r="GD4" s="683"/>
      <c r="GE4" s="683"/>
      <c r="GF4" s="683"/>
      <c r="GG4" s="683"/>
      <c r="GH4" s="683"/>
      <c r="GI4" s="683"/>
      <c r="GJ4" s="683"/>
      <c r="GK4" s="683"/>
      <c r="GL4" s="683"/>
      <c r="GM4" s="683"/>
      <c r="GN4" s="683"/>
      <c r="GO4" s="683"/>
      <c r="GP4" s="683"/>
      <c r="GQ4" s="683"/>
      <c r="GR4" s="683"/>
      <c r="GS4" s="683"/>
      <c r="GT4" s="683"/>
      <c r="GU4" s="683"/>
      <c r="GV4" s="683"/>
      <c r="GW4" s="683"/>
      <c r="GX4" s="683"/>
      <c r="GY4" s="683"/>
      <c r="GZ4" s="683"/>
      <c r="HA4" s="683"/>
      <c r="HB4" s="683"/>
      <c r="HC4" s="683"/>
      <c r="HD4" s="683"/>
      <c r="HE4" s="683"/>
      <c r="HF4" s="683"/>
      <c r="HG4" s="683"/>
      <c r="HH4" s="683"/>
      <c r="HI4" s="675"/>
      <c r="HJ4" s="675"/>
      <c r="HK4" s="675"/>
      <c r="HL4" s="675"/>
      <c r="HM4" s="675"/>
      <c r="HN4" s="675"/>
      <c r="HO4" s="675"/>
      <c r="HP4" s="675"/>
      <c r="HQ4" s="675"/>
      <c r="HR4" s="675"/>
      <c r="HS4" s="675"/>
      <c r="HT4" s="675"/>
      <c r="HU4" s="675"/>
      <c r="HV4" s="675"/>
      <c r="HW4" s="675"/>
      <c r="HX4" s="675"/>
    </row>
    <row r="5" spans="1:232" ht="36.75" customHeight="1" x14ac:dyDescent="0.3">
      <c r="A5" s="2" t="s">
        <v>70</v>
      </c>
      <c r="B5" s="836" t="s">
        <v>297</v>
      </c>
      <c r="C5" s="836"/>
      <c r="D5" s="836"/>
      <c r="E5" s="836"/>
      <c r="F5" s="836"/>
      <c r="G5" s="836"/>
      <c r="H5" s="836"/>
      <c r="I5" s="836"/>
      <c r="J5" s="836"/>
      <c r="K5" s="836"/>
      <c r="L5" s="836"/>
      <c r="M5" s="836"/>
      <c r="N5" s="836"/>
      <c r="O5" s="836"/>
      <c r="P5" s="836"/>
      <c r="Q5" s="836"/>
      <c r="R5" s="836"/>
      <c r="S5" s="836"/>
      <c r="T5" s="836"/>
      <c r="U5" s="836"/>
      <c r="V5" s="836"/>
      <c r="W5" s="836"/>
      <c r="X5" s="836"/>
      <c r="Y5" s="836"/>
      <c r="Z5" s="836"/>
      <c r="AA5" s="836"/>
      <c r="AB5" s="836"/>
      <c r="AC5" s="836"/>
      <c r="AD5" s="836"/>
      <c r="AE5" s="836"/>
      <c r="AF5" s="836"/>
      <c r="AG5" s="836"/>
      <c r="AH5" s="836"/>
      <c r="AI5" s="836"/>
      <c r="AJ5" s="836"/>
      <c r="AK5" s="836"/>
      <c r="AL5" s="836"/>
      <c r="AM5" s="836"/>
      <c r="AN5" s="836"/>
      <c r="AO5" s="836"/>
      <c r="AP5" s="836"/>
      <c r="AQ5" s="836"/>
      <c r="AR5" s="836"/>
      <c r="AS5" s="836"/>
      <c r="AT5" s="836"/>
      <c r="AU5" s="836"/>
      <c r="AV5" s="836"/>
      <c r="AW5" s="836"/>
      <c r="AX5" s="836"/>
      <c r="AY5" s="836"/>
      <c r="AZ5" s="836"/>
      <c r="BA5" s="836"/>
      <c r="BB5" s="836"/>
      <c r="BC5" s="836"/>
      <c r="BD5" s="836"/>
      <c r="BE5" s="836"/>
      <c r="BF5" s="836"/>
      <c r="BG5" s="836"/>
      <c r="BH5" s="836"/>
      <c r="BI5" s="836"/>
      <c r="BJ5" s="836"/>
      <c r="BK5" s="836"/>
      <c r="BL5" s="836"/>
      <c r="BM5" s="836"/>
      <c r="BN5" s="836"/>
      <c r="BO5" s="836"/>
      <c r="BP5" s="836"/>
      <c r="BQ5" s="836"/>
      <c r="BR5" s="836"/>
      <c r="BS5" s="836"/>
      <c r="BT5" s="836"/>
      <c r="BU5" s="836"/>
      <c r="BV5" s="190"/>
      <c r="BW5" s="632"/>
      <c r="BX5" s="633"/>
      <c r="BY5" s="633"/>
      <c r="BZ5" s="633"/>
      <c r="CA5" s="633"/>
      <c r="CB5" s="633"/>
      <c r="CD5" s="624"/>
    </row>
    <row r="6" spans="1:232" s="42" customFormat="1" ht="20.25" customHeight="1" x14ac:dyDescent="0.2">
      <c r="A6" s="43"/>
      <c r="B6" s="42" t="s">
        <v>108</v>
      </c>
      <c r="W6" s="218"/>
      <c r="X6" s="218"/>
      <c r="BI6" s="406"/>
      <c r="BJ6" s="421"/>
      <c r="BK6" s="406"/>
      <c r="BM6" s="418"/>
      <c r="BO6" s="139"/>
      <c r="BP6" s="139"/>
      <c r="BR6" s="406"/>
      <c r="BT6" s="406"/>
      <c r="BU6" s="406"/>
      <c r="BW6" s="635"/>
      <c r="BX6" s="636"/>
      <c r="BY6" s="636"/>
      <c r="BZ6" s="636"/>
      <c r="CA6" s="418"/>
      <c r="CB6" s="637"/>
      <c r="CC6" s="418"/>
      <c r="CD6" s="418"/>
      <c r="CE6" s="418"/>
      <c r="CF6" s="418"/>
      <c r="CG6" s="418"/>
      <c r="CH6" s="418"/>
      <c r="CI6" s="418"/>
      <c r="CJ6" s="418"/>
      <c r="CK6" s="418"/>
      <c r="CL6" s="418"/>
      <c r="CM6" s="418"/>
      <c r="CN6" s="418"/>
      <c r="CO6" s="418"/>
      <c r="CP6" s="418"/>
      <c r="CQ6" s="418"/>
      <c r="CR6" s="611"/>
      <c r="CS6" s="611"/>
      <c r="CT6" s="611"/>
      <c r="CU6" s="611"/>
      <c r="CV6" s="611"/>
      <c r="CW6" s="611"/>
      <c r="CX6" s="611"/>
      <c r="CY6" s="611"/>
      <c r="CZ6" s="611"/>
      <c r="DA6" s="611"/>
      <c r="FP6" s="684"/>
      <c r="FQ6" s="684"/>
      <c r="FR6" s="684"/>
      <c r="FS6" s="684"/>
      <c r="FT6" s="684"/>
      <c r="FU6" s="684"/>
      <c r="FV6" s="684"/>
      <c r="FW6" s="684"/>
      <c r="FX6" s="684"/>
      <c r="FY6" s="684"/>
      <c r="FZ6" s="684"/>
      <c r="GA6" s="684"/>
      <c r="GB6" s="684"/>
      <c r="GC6" s="684"/>
      <c r="GD6" s="684"/>
      <c r="GE6" s="684"/>
      <c r="GF6" s="684"/>
      <c r="GG6" s="684"/>
      <c r="GH6" s="684"/>
      <c r="GI6" s="684"/>
      <c r="GJ6" s="684"/>
      <c r="GK6" s="684"/>
      <c r="GL6" s="684"/>
      <c r="GM6" s="684"/>
      <c r="GN6" s="684"/>
      <c r="GO6" s="684"/>
      <c r="GP6" s="684"/>
      <c r="GQ6" s="684"/>
      <c r="GR6" s="684"/>
      <c r="GS6" s="684"/>
      <c r="GT6" s="684"/>
      <c r="GU6" s="684"/>
      <c r="GV6" s="684"/>
      <c r="GW6" s="684"/>
      <c r="GX6" s="684"/>
      <c r="GY6" s="684"/>
      <c r="GZ6" s="684"/>
      <c r="HA6" s="684"/>
      <c r="HB6" s="684"/>
      <c r="HC6" s="684"/>
      <c r="HD6" s="684"/>
      <c r="HE6" s="684"/>
      <c r="HF6" s="684"/>
      <c r="HG6" s="684"/>
      <c r="HH6" s="684"/>
      <c r="HI6" s="681"/>
      <c r="HJ6" s="681"/>
      <c r="HK6" s="681"/>
      <c r="HL6" s="681"/>
      <c r="HM6" s="681"/>
      <c r="HN6" s="681"/>
      <c r="HO6" s="681"/>
      <c r="HP6" s="681"/>
      <c r="HQ6" s="681"/>
      <c r="HR6" s="681"/>
      <c r="HS6" s="681"/>
      <c r="HT6" s="681"/>
      <c r="HU6" s="681"/>
      <c r="HV6" s="681"/>
      <c r="HW6" s="681"/>
      <c r="HX6" s="681"/>
    </row>
    <row r="7" spans="1:232" ht="15.75" x14ac:dyDescent="0.2">
      <c r="E7" s="140" t="s">
        <v>109</v>
      </c>
    </row>
    <row r="8" spans="1:232" ht="15.75" x14ac:dyDescent="0.2">
      <c r="E8" s="140" t="s">
        <v>299</v>
      </c>
    </row>
    <row r="9" spans="1:232" ht="15.75" x14ac:dyDescent="0.2">
      <c r="E9" s="140" t="s">
        <v>86</v>
      </c>
    </row>
    <row r="10" spans="1:232" s="83" customFormat="1" ht="19.5" customHeight="1" x14ac:dyDescent="0.25">
      <c r="A10" s="87"/>
      <c r="B10" s="837" t="s">
        <v>38</v>
      </c>
      <c r="C10" s="837"/>
      <c r="D10" s="837"/>
      <c r="E10" s="837"/>
      <c r="F10" s="189">
        <v>32</v>
      </c>
      <c r="H10" s="82"/>
      <c r="I10" s="81"/>
      <c r="J10" s="80"/>
      <c r="K10" s="82"/>
      <c r="L10" s="82"/>
      <c r="M10" s="82"/>
      <c r="N10" s="82"/>
      <c r="O10" s="82"/>
      <c r="P10" s="82"/>
      <c r="Q10" s="82"/>
      <c r="R10" s="590" t="s">
        <v>18</v>
      </c>
      <c r="S10" s="161"/>
      <c r="T10" s="592"/>
      <c r="U10" s="592"/>
      <c r="V10" s="592"/>
      <c r="W10" s="546"/>
      <c r="X10" s="492"/>
      <c r="Y10" s="592"/>
      <c r="Z10" s="592"/>
      <c r="AA10" s="592"/>
      <c r="AB10" s="82"/>
      <c r="AC10" s="80"/>
      <c r="AD10" s="82"/>
      <c r="AE10" s="82"/>
      <c r="AF10" s="82"/>
      <c r="AG10" s="82"/>
      <c r="AH10" s="82"/>
      <c r="AI10" s="82"/>
      <c r="AJ10" s="82"/>
      <c r="AK10" s="82"/>
      <c r="AL10" s="82"/>
      <c r="AM10" s="82"/>
      <c r="AN10" s="82"/>
      <c r="AO10" s="82"/>
      <c r="AP10" s="81"/>
      <c r="AQ10" s="81"/>
      <c r="AR10" s="41"/>
      <c r="AS10" s="41"/>
      <c r="AT10" s="82"/>
      <c r="AU10" s="592"/>
      <c r="AV10" s="592"/>
      <c r="AW10" s="592" t="s">
        <v>67</v>
      </c>
      <c r="AX10" s="592"/>
      <c r="AZ10" s="592"/>
      <c r="BA10" s="592"/>
      <c r="BE10" s="214"/>
      <c r="BG10" s="592"/>
      <c r="BH10" s="592"/>
      <c r="BI10" s="151"/>
      <c r="BK10" s="150"/>
      <c r="BL10" s="151"/>
      <c r="BM10" s="417"/>
      <c r="BN10" s="151"/>
      <c r="BR10" s="150"/>
      <c r="BS10" s="214"/>
      <c r="BT10" s="150"/>
      <c r="BU10" s="151"/>
      <c r="BW10" s="639"/>
      <c r="BX10" s="640"/>
      <c r="BY10" s="640"/>
      <c r="BZ10" s="640"/>
      <c r="CA10" s="640"/>
      <c r="CB10" s="640"/>
      <c r="CC10" s="640"/>
      <c r="CD10" s="640"/>
      <c r="CE10" s="641"/>
      <c r="CF10" s="641"/>
      <c r="CG10" s="640"/>
      <c r="CH10" s="640"/>
      <c r="CI10" s="634"/>
      <c r="CJ10" s="640"/>
      <c r="CK10" s="640"/>
      <c r="CL10" s="640"/>
      <c r="CM10" s="640"/>
      <c r="CN10" s="640"/>
      <c r="CO10" s="640"/>
      <c r="CP10" s="640"/>
      <c r="CQ10" s="640"/>
      <c r="CR10" s="613"/>
      <c r="CS10" s="613"/>
      <c r="CT10" s="613"/>
      <c r="CU10" s="613"/>
      <c r="CV10" s="613"/>
      <c r="CW10" s="613"/>
      <c r="CX10" s="613"/>
      <c r="CY10" s="613"/>
      <c r="CZ10" s="613"/>
      <c r="DA10" s="613"/>
      <c r="FP10" s="613"/>
      <c r="FQ10" s="613"/>
      <c r="FR10" s="613"/>
      <c r="FS10" s="613"/>
      <c r="FT10" s="613"/>
      <c r="FU10" s="613"/>
      <c r="FV10" s="613"/>
      <c r="FW10" s="613"/>
      <c r="FX10" s="613"/>
      <c r="FY10" s="613"/>
      <c r="FZ10" s="613"/>
      <c r="GA10" s="613"/>
      <c r="GB10" s="613"/>
      <c r="GC10" s="613"/>
      <c r="GD10" s="613"/>
      <c r="GE10" s="613"/>
      <c r="GF10" s="613"/>
      <c r="GG10" s="613"/>
      <c r="GH10" s="613"/>
      <c r="GI10" s="613"/>
      <c r="GJ10" s="613"/>
      <c r="GK10" s="613"/>
      <c r="GL10" s="613"/>
      <c r="GM10" s="613"/>
      <c r="GN10" s="613"/>
      <c r="GO10" s="613"/>
      <c r="GP10" s="613"/>
      <c r="GQ10" s="613"/>
      <c r="GR10" s="613"/>
      <c r="GS10" s="613"/>
      <c r="GT10" s="613"/>
      <c r="GU10" s="613"/>
      <c r="GV10" s="613"/>
      <c r="GW10" s="613"/>
      <c r="GX10" s="613"/>
      <c r="GY10" s="613"/>
      <c r="GZ10" s="613"/>
      <c r="HA10" s="613"/>
      <c r="HB10" s="613"/>
      <c r="HC10" s="613"/>
      <c r="HD10" s="613"/>
      <c r="HE10" s="613"/>
      <c r="HF10" s="613"/>
      <c r="HG10" s="613"/>
      <c r="HH10" s="613"/>
    </row>
    <row r="11" spans="1:232" ht="6" customHeight="1" x14ac:dyDescent="0.2">
      <c r="B11" s="592" t="s">
        <v>10</v>
      </c>
      <c r="X11" s="591"/>
    </row>
    <row r="12" spans="1:232" s="431" customFormat="1" ht="33" customHeight="1" x14ac:dyDescent="0.2">
      <c r="A12" s="429" t="s">
        <v>35</v>
      </c>
      <c r="B12" s="762" t="s">
        <v>115</v>
      </c>
      <c r="C12" s="587"/>
      <c r="D12" s="762" t="s">
        <v>5</v>
      </c>
      <c r="E12" s="762" t="s">
        <v>116</v>
      </c>
      <c r="F12" s="762" t="s">
        <v>117</v>
      </c>
      <c r="G12" s="493" t="s">
        <v>66</v>
      </c>
      <c r="H12" s="493"/>
      <c r="I12" s="493"/>
      <c r="J12" s="493"/>
      <c r="K12" s="493"/>
      <c r="L12" s="493"/>
      <c r="M12" s="493"/>
      <c r="N12" s="493"/>
      <c r="O12" s="493"/>
      <c r="P12" s="493"/>
      <c r="Q12" s="493"/>
      <c r="R12" s="796" t="s">
        <v>118</v>
      </c>
      <c r="S12" s="797"/>
      <c r="T12" s="587"/>
      <c r="U12" s="587"/>
      <c r="V12" s="430"/>
      <c r="W12" s="824" t="s">
        <v>130</v>
      </c>
      <c r="X12" s="828"/>
      <c r="Y12" s="825"/>
      <c r="Z12" s="493"/>
      <c r="AA12" s="493"/>
      <c r="AB12" s="493" t="s">
        <v>19</v>
      </c>
      <c r="AC12" s="493"/>
      <c r="AD12" s="493"/>
      <c r="AE12" s="493"/>
      <c r="AF12" s="493"/>
      <c r="AG12" s="493"/>
      <c r="AH12" s="493"/>
      <c r="AI12" s="493"/>
      <c r="AJ12" s="493"/>
      <c r="AK12" s="493"/>
      <c r="AL12" s="493"/>
      <c r="AM12" s="493"/>
      <c r="AN12" s="493"/>
      <c r="AO12" s="493"/>
      <c r="AP12" s="493"/>
      <c r="AQ12" s="493"/>
      <c r="AR12" s="493" t="s">
        <v>68</v>
      </c>
      <c r="AS12" s="493"/>
      <c r="AT12" s="493"/>
      <c r="AU12" s="493"/>
      <c r="AV12" s="493"/>
      <c r="AW12" s="493"/>
      <c r="AX12" s="493"/>
      <c r="AY12" s="493"/>
      <c r="AZ12" s="493"/>
      <c r="BA12" s="493"/>
      <c r="BB12" s="493"/>
      <c r="BC12" s="493"/>
      <c r="BD12" s="493"/>
      <c r="BE12" s="587"/>
      <c r="BF12" s="772" t="s">
        <v>120</v>
      </c>
      <c r="BG12" s="773"/>
      <c r="BH12" s="773"/>
      <c r="BI12" s="773"/>
      <c r="BJ12" s="773"/>
      <c r="BK12" s="773"/>
      <c r="BL12" s="774"/>
      <c r="BM12" s="824" t="s">
        <v>122</v>
      </c>
      <c r="BN12" s="825"/>
      <c r="BO12" s="772" t="s">
        <v>123</v>
      </c>
      <c r="BP12" s="773"/>
      <c r="BQ12" s="773"/>
      <c r="BR12" s="773"/>
      <c r="BS12" s="773"/>
      <c r="BT12" s="773"/>
      <c r="BU12" s="774"/>
      <c r="BV12" s="762" t="s">
        <v>68</v>
      </c>
      <c r="BW12" s="674"/>
      <c r="BX12" s="805"/>
      <c r="BY12" s="596"/>
      <c r="BZ12" s="596"/>
      <c r="CA12" s="805"/>
      <c r="CB12" s="805"/>
      <c r="CC12" s="597"/>
      <c r="CD12" s="597"/>
      <c r="CE12" s="598"/>
      <c r="CF12" s="598"/>
      <c r="CG12" s="597"/>
      <c r="CH12" s="597"/>
      <c r="CI12" s="597"/>
      <c r="CJ12" s="597"/>
      <c r="CK12" s="597"/>
      <c r="CL12" s="597"/>
      <c r="CM12" s="597"/>
      <c r="CN12" s="597"/>
      <c r="CO12" s="597"/>
      <c r="CP12" s="597"/>
      <c r="CQ12" s="597"/>
      <c r="CR12" s="614"/>
      <c r="CS12" s="614"/>
      <c r="CT12" s="614"/>
      <c r="CU12" s="614"/>
      <c r="CV12" s="614"/>
      <c r="CW12" s="614"/>
      <c r="CX12" s="614"/>
      <c r="CY12" s="614"/>
      <c r="CZ12" s="614"/>
      <c r="DA12" s="614"/>
      <c r="DB12" s="597"/>
      <c r="DC12" s="597"/>
      <c r="DD12" s="597"/>
      <c r="DE12" s="597"/>
      <c r="DF12" s="597"/>
      <c r="DG12" s="597"/>
      <c r="DH12" s="597"/>
      <c r="DI12" s="597"/>
      <c r="DJ12" s="597"/>
      <c r="DK12" s="597"/>
      <c r="DL12" s="597"/>
      <c r="DM12" s="597"/>
      <c r="DN12" s="597"/>
      <c r="DO12" s="597"/>
      <c r="DP12" s="597"/>
      <c r="DQ12" s="597"/>
      <c r="DR12" s="597"/>
      <c r="DS12" s="597"/>
      <c r="DT12" s="597"/>
      <c r="DU12" s="597"/>
      <c r="DV12" s="597"/>
      <c r="DW12" s="597"/>
      <c r="DX12" s="597"/>
      <c r="DY12" s="597"/>
      <c r="DZ12" s="597"/>
      <c r="EA12" s="597"/>
      <c r="EB12" s="597"/>
      <c r="EC12" s="597"/>
      <c r="ED12" s="597"/>
      <c r="EE12" s="597"/>
      <c r="EF12" s="597"/>
      <c r="EG12" s="597"/>
      <c r="EH12" s="597"/>
      <c r="EI12" s="597"/>
      <c r="EJ12" s="597"/>
      <c r="EK12" s="597"/>
      <c r="EL12" s="597"/>
      <c r="EM12" s="597"/>
      <c r="EN12" s="597"/>
      <c r="EO12" s="597"/>
      <c r="EP12" s="597"/>
      <c r="EQ12" s="597"/>
      <c r="ER12" s="597"/>
      <c r="ES12" s="597"/>
      <c r="ET12" s="597"/>
      <c r="EU12" s="597"/>
      <c r="EV12" s="597"/>
      <c r="EW12" s="597"/>
      <c r="EX12" s="597"/>
      <c r="EY12" s="597"/>
      <c r="EZ12" s="597"/>
      <c r="FA12" s="597"/>
      <c r="FB12" s="597"/>
      <c r="FC12" s="597"/>
      <c r="FD12" s="597"/>
      <c r="FE12" s="597"/>
      <c r="FF12" s="597"/>
      <c r="FG12" s="597"/>
      <c r="FH12" s="597"/>
      <c r="FI12" s="597"/>
      <c r="FJ12" s="597"/>
      <c r="FK12" s="597"/>
      <c r="FL12" s="597"/>
      <c r="FM12" s="597"/>
      <c r="FN12" s="597"/>
      <c r="FO12" s="597"/>
      <c r="FP12" s="685"/>
      <c r="FQ12" s="685"/>
      <c r="FR12" s="685"/>
      <c r="FS12" s="685"/>
      <c r="FT12" s="685"/>
      <c r="FU12" s="685"/>
      <c r="FV12" s="685"/>
      <c r="FW12" s="685"/>
      <c r="FX12" s="685"/>
      <c r="FY12" s="685"/>
      <c r="FZ12" s="685"/>
      <c r="GA12" s="685"/>
      <c r="GB12" s="685"/>
      <c r="GC12" s="685"/>
      <c r="GD12" s="685"/>
      <c r="GE12" s="685"/>
      <c r="GF12" s="685"/>
      <c r="GG12" s="685"/>
      <c r="GH12" s="685"/>
      <c r="GI12" s="685"/>
      <c r="GJ12" s="685"/>
      <c r="GK12" s="685"/>
      <c r="GL12" s="685"/>
      <c r="GM12" s="685"/>
      <c r="GN12" s="685"/>
      <c r="GO12" s="685"/>
      <c r="GP12" s="685"/>
      <c r="GQ12" s="685"/>
      <c r="GR12" s="685"/>
      <c r="GS12" s="685"/>
      <c r="GT12" s="685"/>
      <c r="GU12" s="685"/>
      <c r="GV12" s="685"/>
      <c r="GW12" s="685"/>
      <c r="GX12" s="685"/>
      <c r="GY12" s="685"/>
      <c r="GZ12" s="685"/>
      <c r="HA12" s="685"/>
      <c r="HB12" s="685"/>
      <c r="HC12" s="685"/>
      <c r="HD12" s="685"/>
      <c r="HE12" s="685"/>
      <c r="HF12" s="685"/>
      <c r="HG12" s="685"/>
      <c r="HH12" s="685"/>
      <c r="HI12" s="594"/>
      <c r="HJ12" s="594"/>
      <c r="HK12" s="594"/>
      <c r="HL12" s="594"/>
      <c r="HM12" s="594"/>
      <c r="HN12" s="594"/>
      <c r="HO12" s="594"/>
      <c r="HP12" s="594"/>
      <c r="HQ12" s="594"/>
      <c r="HR12" s="594"/>
      <c r="HS12" s="594"/>
      <c r="HT12" s="594"/>
      <c r="HU12" s="594"/>
      <c r="HV12" s="594"/>
      <c r="HW12" s="594"/>
      <c r="HX12" s="594"/>
    </row>
    <row r="13" spans="1:232" s="431" customFormat="1" ht="19.5" customHeight="1" x14ac:dyDescent="0.2">
      <c r="A13" s="429"/>
      <c r="B13" s="763"/>
      <c r="C13" s="587"/>
      <c r="D13" s="763"/>
      <c r="E13" s="763"/>
      <c r="F13" s="763"/>
      <c r="G13" s="493"/>
      <c r="H13" s="493"/>
      <c r="I13" s="493"/>
      <c r="J13" s="493"/>
      <c r="K13" s="493"/>
      <c r="L13" s="493"/>
      <c r="M13" s="493"/>
      <c r="N13" s="493"/>
      <c r="O13" s="493"/>
      <c r="P13" s="493"/>
      <c r="Q13" s="493"/>
      <c r="R13" s="804"/>
      <c r="S13" s="802"/>
      <c r="T13" s="587"/>
      <c r="U13" s="587"/>
      <c r="V13" s="432"/>
      <c r="W13" s="829"/>
      <c r="X13" s="830"/>
      <c r="Y13" s="831"/>
      <c r="Z13" s="493"/>
      <c r="AA13" s="493"/>
      <c r="AB13" s="493"/>
      <c r="AC13" s="493"/>
      <c r="AD13" s="493"/>
      <c r="AE13" s="493"/>
      <c r="AF13" s="493"/>
      <c r="AG13" s="493"/>
      <c r="AH13" s="493"/>
      <c r="AI13" s="493"/>
      <c r="AJ13" s="493"/>
      <c r="AK13" s="493"/>
      <c r="AL13" s="493"/>
      <c r="AM13" s="493"/>
      <c r="AN13" s="493"/>
      <c r="AO13" s="493"/>
      <c r="AP13" s="493"/>
      <c r="AQ13" s="493"/>
      <c r="AR13" s="493"/>
      <c r="AS13" s="493"/>
      <c r="AT13" s="493"/>
      <c r="AU13" s="493"/>
      <c r="AV13" s="493"/>
      <c r="AW13" s="493"/>
      <c r="AX13" s="493"/>
      <c r="AY13" s="493"/>
      <c r="AZ13" s="493"/>
      <c r="BA13" s="493"/>
      <c r="BB13" s="493"/>
      <c r="BC13" s="493"/>
      <c r="BD13" s="493"/>
      <c r="BE13" s="587"/>
      <c r="BF13" s="818" t="s">
        <v>92</v>
      </c>
      <c r="BG13" s="820"/>
      <c r="BH13" s="754"/>
      <c r="BI13" s="756"/>
      <c r="BJ13" s="818" t="s">
        <v>119</v>
      </c>
      <c r="BK13" s="819"/>
      <c r="BL13" s="820"/>
      <c r="BM13" s="826"/>
      <c r="BN13" s="827"/>
      <c r="BO13" s="818" t="s">
        <v>92</v>
      </c>
      <c r="BP13" s="820"/>
      <c r="BQ13" s="754"/>
      <c r="BR13" s="756"/>
      <c r="BS13" s="818" t="s">
        <v>119</v>
      </c>
      <c r="BT13" s="819"/>
      <c r="BU13" s="820"/>
      <c r="BV13" s="763"/>
      <c r="BW13" s="674"/>
      <c r="BX13" s="805"/>
      <c r="BY13" s="596"/>
      <c r="BZ13" s="596"/>
      <c r="CA13" s="805"/>
      <c r="CB13" s="805"/>
      <c r="CC13" s="597"/>
      <c r="CD13" s="597"/>
      <c r="CE13" s="598"/>
      <c r="CF13" s="598"/>
      <c r="CG13" s="597"/>
      <c r="CH13" s="597"/>
      <c r="CI13" s="597"/>
      <c r="CJ13" s="597"/>
      <c r="CK13" s="597"/>
      <c r="CL13" s="597"/>
      <c r="CM13" s="597"/>
      <c r="CN13" s="597"/>
      <c r="CO13" s="597"/>
      <c r="CP13" s="597"/>
      <c r="CQ13" s="597"/>
      <c r="CR13" s="614"/>
      <c r="CS13" s="614"/>
      <c r="CT13" s="614"/>
      <c r="CU13" s="614"/>
      <c r="CV13" s="614"/>
      <c r="CW13" s="614"/>
      <c r="CX13" s="614"/>
      <c r="CY13" s="614"/>
      <c r="CZ13" s="614"/>
      <c r="DA13" s="614"/>
      <c r="DB13" s="597"/>
      <c r="DC13" s="597"/>
      <c r="DD13" s="597"/>
      <c r="DE13" s="597"/>
      <c r="DF13" s="597"/>
      <c r="DG13" s="597"/>
      <c r="DH13" s="597"/>
      <c r="DI13" s="597"/>
      <c r="DJ13" s="597"/>
      <c r="DK13" s="597"/>
      <c r="DL13" s="597"/>
      <c r="DM13" s="597"/>
      <c r="DN13" s="597"/>
      <c r="DO13" s="597"/>
      <c r="DP13" s="597"/>
      <c r="DQ13" s="597"/>
      <c r="DR13" s="597"/>
      <c r="DS13" s="597"/>
      <c r="DT13" s="597"/>
      <c r="DU13" s="597"/>
      <c r="DV13" s="597"/>
      <c r="DW13" s="597"/>
      <c r="DX13" s="597"/>
      <c r="DY13" s="597"/>
      <c r="DZ13" s="597"/>
      <c r="EA13" s="597"/>
      <c r="EB13" s="597"/>
      <c r="EC13" s="597"/>
      <c r="ED13" s="597"/>
      <c r="EE13" s="597"/>
      <c r="EF13" s="597"/>
      <c r="EG13" s="597"/>
      <c r="EH13" s="597"/>
      <c r="EI13" s="597"/>
      <c r="EJ13" s="597"/>
      <c r="EK13" s="597"/>
      <c r="EL13" s="597"/>
      <c r="EM13" s="597"/>
      <c r="EN13" s="597"/>
      <c r="EO13" s="597"/>
      <c r="EP13" s="597"/>
      <c r="EQ13" s="597"/>
      <c r="ER13" s="597"/>
      <c r="ES13" s="597"/>
      <c r="ET13" s="597"/>
      <c r="EU13" s="597"/>
      <c r="EV13" s="597"/>
      <c r="EW13" s="597"/>
      <c r="EX13" s="597"/>
      <c r="EY13" s="597"/>
      <c r="EZ13" s="597"/>
      <c r="FA13" s="597"/>
      <c r="FB13" s="597"/>
      <c r="FC13" s="597"/>
      <c r="FD13" s="597"/>
      <c r="FE13" s="597"/>
      <c r="FF13" s="597"/>
      <c r="FG13" s="597"/>
      <c r="FH13" s="597"/>
      <c r="FI13" s="597"/>
      <c r="FJ13" s="597"/>
      <c r="FK13" s="597"/>
      <c r="FL13" s="597"/>
      <c r="FM13" s="597"/>
      <c r="FN13" s="597"/>
      <c r="FO13" s="597"/>
      <c r="FP13" s="685"/>
      <c r="FQ13" s="685"/>
      <c r="FR13" s="685"/>
      <c r="FS13" s="685"/>
      <c r="FT13" s="685"/>
      <c r="FU13" s="685"/>
      <c r="FV13" s="685"/>
      <c r="FW13" s="685"/>
      <c r="FX13" s="685"/>
      <c r="FY13" s="685"/>
      <c r="FZ13" s="685"/>
      <c r="GA13" s="685"/>
      <c r="GB13" s="685"/>
      <c r="GC13" s="685"/>
      <c r="GD13" s="685"/>
      <c r="GE13" s="685"/>
      <c r="GF13" s="685"/>
      <c r="GG13" s="685"/>
      <c r="GH13" s="685"/>
      <c r="GI13" s="685"/>
      <c r="GJ13" s="685"/>
      <c r="GK13" s="685"/>
      <c r="GL13" s="685"/>
      <c r="GM13" s="685"/>
      <c r="GN13" s="685"/>
      <c r="GO13" s="685"/>
      <c r="GP13" s="685"/>
      <c r="GQ13" s="685"/>
      <c r="GR13" s="685"/>
      <c r="GS13" s="685"/>
      <c r="GT13" s="685"/>
      <c r="GU13" s="685"/>
      <c r="GV13" s="685"/>
      <c r="GW13" s="685"/>
      <c r="GX13" s="685"/>
      <c r="GY13" s="685"/>
      <c r="GZ13" s="685"/>
      <c r="HA13" s="685"/>
      <c r="HB13" s="685"/>
      <c r="HC13" s="685"/>
      <c r="HD13" s="685"/>
      <c r="HE13" s="685"/>
      <c r="HF13" s="685"/>
      <c r="HG13" s="685"/>
      <c r="HH13" s="685"/>
      <c r="HI13" s="594"/>
      <c r="HJ13" s="594"/>
      <c r="HK13" s="594"/>
      <c r="HL13" s="594"/>
      <c r="HM13" s="594"/>
      <c r="HN13" s="594"/>
      <c r="HO13" s="594"/>
      <c r="HP13" s="594"/>
      <c r="HQ13" s="594"/>
      <c r="HR13" s="594"/>
      <c r="HS13" s="594"/>
      <c r="HT13" s="594"/>
      <c r="HU13" s="594"/>
      <c r="HV13" s="594"/>
      <c r="HW13" s="594"/>
      <c r="HX13" s="594"/>
    </row>
    <row r="14" spans="1:232" s="429" customFormat="1" ht="36" customHeight="1" x14ac:dyDescent="0.2">
      <c r="B14" s="764"/>
      <c r="C14" s="587"/>
      <c r="D14" s="764"/>
      <c r="E14" s="764"/>
      <c r="F14" s="764"/>
      <c r="G14" s="493"/>
      <c r="H14" s="493"/>
      <c r="I14" s="493"/>
      <c r="J14" s="493"/>
      <c r="K14" s="493"/>
      <c r="L14" s="493"/>
      <c r="M14" s="493"/>
      <c r="N14" s="493"/>
      <c r="O14" s="493"/>
      <c r="P14" s="493"/>
      <c r="Q14" s="493"/>
      <c r="R14" s="798"/>
      <c r="S14" s="799"/>
      <c r="T14" s="587"/>
      <c r="U14" s="587"/>
      <c r="V14" s="433"/>
      <c r="W14" s="826"/>
      <c r="X14" s="832"/>
      <c r="Y14" s="827"/>
      <c r="Z14" s="493"/>
      <c r="AA14" s="493"/>
      <c r="AB14" s="493" t="s">
        <v>13</v>
      </c>
      <c r="AC14" s="493"/>
      <c r="AD14" s="493" t="s">
        <v>14</v>
      </c>
      <c r="AE14" s="493"/>
      <c r="AF14" s="493"/>
      <c r="AG14" s="493"/>
      <c r="AH14" s="493"/>
      <c r="AI14" s="493"/>
      <c r="AJ14" s="493"/>
      <c r="AK14" s="493"/>
      <c r="AL14" s="493"/>
      <c r="AM14" s="493"/>
      <c r="AN14" s="493"/>
      <c r="AO14" s="493" t="s">
        <v>20</v>
      </c>
      <c r="AP14" s="493"/>
      <c r="AQ14" s="493"/>
      <c r="AR14" s="493"/>
      <c r="AS14" s="493"/>
      <c r="AT14" s="493" t="s">
        <v>21</v>
      </c>
      <c r="AU14" s="493" t="s">
        <v>22</v>
      </c>
      <c r="AV14" s="434" t="s">
        <v>23</v>
      </c>
      <c r="AW14" s="493"/>
      <c r="AX14" s="493"/>
      <c r="AY14" s="493"/>
      <c r="AZ14" s="493"/>
      <c r="BA14" s="493"/>
      <c r="BB14" s="493"/>
      <c r="BC14" s="493"/>
      <c r="BD14" s="493"/>
      <c r="BE14" s="587"/>
      <c r="BF14" s="821"/>
      <c r="BG14" s="823"/>
      <c r="BH14" s="435"/>
      <c r="BI14" s="436"/>
      <c r="BJ14" s="821"/>
      <c r="BK14" s="822"/>
      <c r="BL14" s="823"/>
      <c r="BM14" s="424" t="s">
        <v>114</v>
      </c>
      <c r="BN14" s="413" t="s">
        <v>127</v>
      </c>
      <c r="BO14" s="821"/>
      <c r="BP14" s="823"/>
      <c r="BQ14" s="435"/>
      <c r="BR14" s="436"/>
      <c r="BS14" s="821"/>
      <c r="BT14" s="822"/>
      <c r="BU14" s="823"/>
      <c r="BV14" s="764"/>
      <c r="BW14" s="674"/>
      <c r="BX14" s="805"/>
      <c r="BY14" s="596"/>
      <c r="BZ14" s="596"/>
      <c r="CA14" s="805"/>
      <c r="CB14" s="805"/>
      <c r="CC14" s="599"/>
      <c r="CD14" s="599"/>
      <c r="CE14" s="598"/>
      <c r="CF14" s="598"/>
      <c r="CG14" s="599"/>
      <c r="CH14" s="599"/>
      <c r="CI14" s="599"/>
      <c r="CJ14" s="599"/>
      <c r="CK14" s="599"/>
      <c r="CL14" s="599"/>
      <c r="CM14" s="599"/>
      <c r="CN14" s="599"/>
      <c r="CO14" s="599"/>
      <c r="CP14" s="599"/>
      <c r="CQ14" s="599"/>
      <c r="CR14" s="615"/>
      <c r="CS14" s="615"/>
      <c r="CT14" s="615"/>
      <c r="CU14" s="615"/>
      <c r="CV14" s="615"/>
      <c r="CW14" s="615"/>
      <c r="CX14" s="615"/>
      <c r="CY14" s="615"/>
      <c r="CZ14" s="615"/>
      <c r="DA14" s="615"/>
      <c r="DB14" s="599"/>
      <c r="DC14" s="599"/>
      <c r="DD14" s="599"/>
      <c r="DE14" s="599"/>
      <c r="DF14" s="599"/>
      <c r="DG14" s="599"/>
      <c r="DH14" s="599"/>
      <c r="DI14" s="599"/>
      <c r="DJ14" s="599"/>
      <c r="DK14" s="599"/>
      <c r="DL14" s="599"/>
      <c r="DM14" s="599"/>
      <c r="DN14" s="599"/>
      <c r="DO14" s="599"/>
      <c r="DP14" s="599"/>
      <c r="DQ14" s="599"/>
      <c r="DR14" s="599"/>
      <c r="DS14" s="599"/>
      <c r="DT14" s="599"/>
      <c r="DU14" s="599"/>
      <c r="DV14" s="599"/>
      <c r="DW14" s="599"/>
      <c r="DX14" s="599"/>
      <c r="DY14" s="599"/>
      <c r="DZ14" s="599"/>
      <c r="EA14" s="599"/>
      <c r="EB14" s="599"/>
      <c r="EC14" s="599"/>
      <c r="ED14" s="599"/>
      <c r="EE14" s="599"/>
      <c r="EF14" s="599"/>
      <c r="EG14" s="599"/>
      <c r="EH14" s="599"/>
      <c r="EI14" s="599"/>
      <c r="EJ14" s="599"/>
      <c r="EK14" s="599"/>
      <c r="EL14" s="599"/>
      <c r="EM14" s="599"/>
      <c r="EN14" s="599"/>
      <c r="EO14" s="599"/>
      <c r="EP14" s="599"/>
      <c r="EQ14" s="599"/>
      <c r="ER14" s="599"/>
      <c r="ES14" s="599"/>
      <c r="ET14" s="599"/>
      <c r="EU14" s="599"/>
      <c r="EV14" s="599"/>
      <c r="EW14" s="599"/>
      <c r="EX14" s="599"/>
      <c r="EY14" s="599"/>
      <c r="EZ14" s="599"/>
      <c r="FA14" s="599"/>
      <c r="FB14" s="599"/>
      <c r="FC14" s="599"/>
      <c r="FD14" s="599"/>
      <c r="FE14" s="599"/>
      <c r="FF14" s="599"/>
      <c r="FG14" s="599"/>
      <c r="FH14" s="599"/>
      <c r="FI14" s="599"/>
      <c r="FJ14" s="599"/>
      <c r="FK14" s="599"/>
      <c r="FL14" s="599"/>
      <c r="FM14" s="599"/>
      <c r="FN14" s="599"/>
      <c r="FO14" s="599"/>
      <c r="FP14" s="686"/>
      <c r="FQ14" s="686"/>
      <c r="FR14" s="686"/>
      <c r="FS14" s="686"/>
      <c r="FT14" s="686"/>
      <c r="FU14" s="686"/>
      <c r="FV14" s="686"/>
      <c r="FW14" s="686"/>
      <c r="FX14" s="686"/>
      <c r="FY14" s="686"/>
      <c r="FZ14" s="686"/>
      <c r="GA14" s="686"/>
      <c r="GB14" s="686"/>
      <c r="GC14" s="686"/>
      <c r="GD14" s="686"/>
      <c r="GE14" s="686"/>
      <c r="GF14" s="686"/>
      <c r="GG14" s="686"/>
      <c r="GH14" s="686"/>
      <c r="GI14" s="686"/>
      <c r="GJ14" s="686"/>
      <c r="GK14" s="686"/>
      <c r="GL14" s="686"/>
      <c r="GM14" s="686"/>
      <c r="GN14" s="686"/>
      <c r="GO14" s="686"/>
      <c r="GP14" s="686"/>
      <c r="GQ14" s="686"/>
      <c r="GR14" s="686"/>
      <c r="GS14" s="686"/>
      <c r="GT14" s="686"/>
      <c r="GU14" s="686"/>
      <c r="GV14" s="686"/>
      <c r="GW14" s="686"/>
      <c r="GX14" s="686"/>
      <c r="GY14" s="686"/>
      <c r="GZ14" s="686"/>
      <c r="HA14" s="686"/>
      <c r="HB14" s="686"/>
      <c r="HC14" s="686"/>
      <c r="HD14" s="686"/>
      <c r="HE14" s="686"/>
      <c r="HF14" s="686"/>
      <c r="HG14" s="686"/>
      <c r="HH14" s="686"/>
      <c r="HI14" s="435"/>
      <c r="HJ14" s="435"/>
      <c r="HK14" s="435"/>
      <c r="HL14" s="435"/>
      <c r="HM14" s="435"/>
      <c r="HN14" s="435"/>
      <c r="HO14" s="435"/>
      <c r="HP14" s="435"/>
      <c r="HQ14" s="435"/>
      <c r="HR14" s="435"/>
      <c r="HS14" s="435"/>
      <c r="HT14" s="435"/>
      <c r="HU14" s="435"/>
      <c r="HV14" s="435"/>
      <c r="HW14" s="435"/>
      <c r="HX14" s="435"/>
    </row>
    <row r="15" spans="1:232" s="31" customFormat="1" ht="30.75" hidden="1" customHeight="1" x14ac:dyDescent="0.2">
      <c r="A15" s="31" t="s">
        <v>65</v>
      </c>
      <c r="B15" s="94"/>
      <c r="C15" s="96"/>
      <c r="D15" s="96"/>
      <c r="E15" s="97" t="s">
        <v>0</v>
      </c>
      <c r="F15" s="96" t="s">
        <v>5</v>
      </c>
      <c r="G15" s="96"/>
      <c r="H15" s="96"/>
      <c r="I15" s="96"/>
      <c r="J15" s="96"/>
      <c r="K15" s="96"/>
      <c r="L15" s="96"/>
      <c r="M15" s="96"/>
      <c r="N15" s="96"/>
      <c r="O15" s="96"/>
      <c r="P15" s="96"/>
      <c r="Q15" s="96"/>
      <c r="R15" s="153" t="s">
        <v>24</v>
      </c>
      <c r="S15" s="97" t="s">
        <v>25</v>
      </c>
      <c r="T15" s="96"/>
      <c r="U15" s="96"/>
      <c r="V15" s="96"/>
      <c r="W15" s="545"/>
      <c r="X15" s="94"/>
      <c r="Y15" s="209" t="s">
        <v>26</v>
      </c>
      <c r="Z15" s="209" t="s">
        <v>27</v>
      </c>
      <c r="AA15" s="209"/>
      <c r="AB15" s="209" t="s">
        <v>15</v>
      </c>
      <c r="AC15" s="209"/>
      <c r="AD15" s="209" t="s">
        <v>28</v>
      </c>
      <c r="AE15" s="210"/>
      <c r="AF15" s="210"/>
      <c r="AG15" s="210"/>
      <c r="AH15" s="210"/>
      <c r="AI15" s="210"/>
      <c r="AJ15" s="210"/>
      <c r="AK15" s="210"/>
      <c r="AL15" s="210"/>
      <c r="AM15" s="210"/>
      <c r="AN15" s="210"/>
      <c r="AO15" s="209" t="s">
        <v>29</v>
      </c>
      <c r="AP15" s="209"/>
      <c r="AQ15" s="209"/>
      <c r="AR15" s="209"/>
      <c r="AS15" s="209"/>
      <c r="AT15" s="96"/>
      <c r="AU15" s="96"/>
      <c r="AV15" s="96"/>
      <c r="AW15" s="96"/>
      <c r="AX15" s="96"/>
      <c r="AY15" s="96"/>
      <c r="AZ15" s="96"/>
      <c r="BA15" s="96"/>
      <c r="BB15" s="96"/>
      <c r="BC15" s="96"/>
      <c r="BD15" s="96"/>
      <c r="BE15" s="94"/>
      <c r="BF15" s="96" t="s">
        <v>27</v>
      </c>
      <c r="BG15" s="96"/>
      <c r="BH15" s="96"/>
      <c r="BI15" s="156"/>
      <c r="BJ15" s="215" t="s">
        <v>28</v>
      </c>
      <c r="BK15" s="408"/>
      <c r="BL15" s="96" t="s">
        <v>29</v>
      </c>
      <c r="BM15" s="134"/>
      <c r="BN15" s="96"/>
      <c r="BO15" s="96" t="s">
        <v>15</v>
      </c>
      <c r="BP15" s="96"/>
      <c r="BQ15" s="215"/>
      <c r="BR15" s="156"/>
      <c r="BS15" s="94" t="s">
        <v>28</v>
      </c>
      <c r="BT15" s="408"/>
      <c r="BU15" s="156" t="s">
        <v>29</v>
      </c>
      <c r="BV15" s="751"/>
      <c r="BW15" s="600"/>
      <c r="BX15" s="600"/>
      <c r="BY15" s="600"/>
      <c r="BZ15" s="600"/>
      <c r="CA15" s="600"/>
      <c r="CB15" s="600"/>
      <c r="CC15" s="600"/>
      <c r="CD15" s="600"/>
      <c r="CE15" s="601"/>
      <c r="CF15" s="601"/>
      <c r="CG15" s="600"/>
      <c r="CH15" s="600"/>
      <c r="CI15" s="600"/>
      <c r="CJ15" s="600"/>
      <c r="CK15" s="600"/>
      <c r="CL15" s="600"/>
      <c r="CM15" s="600"/>
      <c r="CN15" s="600"/>
      <c r="CO15" s="600"/>
      <c r="CP15" s="600"/>
      <c r="CQ15" s="600"/>
      <c r="CR15" s="616"/>
      <c r="CS15" s="616"/>
      <c r="CT15" s="616"/>
      <c r="CU15" s="616"/>
      <c r="CV15" s="616"/>
      <c r="CW15" s="616"/>
      <c r="CX15" s="616"/>
      <c r="CY15" s="616"/>
      <c r="CZ15" s="616"/>
      <c r="DA15" s="616"/>
      <c r="DB15" s="600"/>
      <c r="DC15" s="600"/>
      <c r="DD15" s="600"/>
      <c r="DE15" s="600"/>
      <c r="DF15" s="600"/>
      <c r="DG15" s="600"/>
      <c r="DH15" s="600"/>
      <c r="DI15" s="600"/>
      <c r="DJ15" s="600"/>
      <c r="DK15" s="600"/>
      <c r="DL15" s="600"/>
      <c r="DM15" s="600"/>
      <c r="DN15" s="600"/>
      <c r="DO15" s="600"/>
      <c r="DP15" s="600"/>
      <c r="DQ15" s="600"/>
      <c r="DR15" s="600"/>
      <c r="DS15" s="600"/>
      <c r="DT15" s="600"/>
      <c r="DU15" s="600"/>
      <c r="DV15" s="600"/>
      <c r="DW15" s="600"/>
      <c r="DX15" s="600"/>
      <c r="DY15" s="600"/>
      <c r="DZ15" s="600"/>
      <c r="EA15" s="600"/>
      <c r="EB15" s="600"/>
      <c r="EC15" s="600"/>
      <c r="ED15" s="600"/>
      <c r="EE15" s="600"/>
      <c r="EF15" s="600"/>
      <c r="EG15" s="600"/>
      <c r="EH15" s="600"/>
      <c r="EI15" s="600"/>
      <c r="EJ15" s="600"/>
      <c r="EK15" s="600"/>
      <c r="EL15" s="600"/>
      <c r="EM15" s="600"/>
      <c r="EN15" s="600"/>
      <c r="EO15" s="600"/>
      <c r="EP15" s="600"/>
      <c r="EQ15" s="600"/>
      <c r="ER15" s="600"/>
      <c r="ES15" s="600"/>
      <c r="ET15" s="600"/>
      <c r="EU15" s="600"/>
      <c r="EV15" s="600"/>
      <c r="EW15" s="600"/>
      <c r="EX15" s="600"/>
      <c r="EY15" s="600"/>
      <c r="EZ15" s="600"/>
      <c r="FA15" s="600"/>
      <c r="FB15" s="600"/>
      <c r="FC15" s="600"/>
      <c r="FD15" s="600"/>
      <c r="FE15" s="600"/>
      <c r="FF15" s="600"/>
      <c r="FG15" s="600"/>
      <c r="FH15" s="600"/>
      <c r="FI15" s="600"/>
      <c r="FJ15" s="600"/>
      <c r="FK15" s="600"/>
      <c r="FL15" s="600"/>
      <c r="FM15" s="600"/>
      <c r="FN15" s="600"/>
      <c r="FO15" s="600"/>
      <c r="FP15" s="687"/>
      <c r="FQ15" s="687"/>
      <c r="FR15" s="687"/>
      <c r="FS15" s="687"/>
      <c r="FT15" s="687"/>
      <c r="FU15" s="687"/>
      <c r="FV15" s="687"/>
      <c r="FW15" s="687"/>
      <c r="FX15" s="687"/>
      <c r="FY15" s="687"/>
      <c r="FZ15" s="687"/>
      <c r="GA15" s="687"/>
      <c r="GB15" s="687"/>
      <c r="GC15" s="687"/>
      <c r="GD15" s="687"/>
      <c r="GE15" s="687"/>
      <c r="GF15" s="687"/>
      <c r="GG15" s="687"/>
      <c r="GH15" s="687"/>
      <c r="GI15" s="687"/>
      <c r="GJ15" s="687"/>
      <c r="GK15" s="687"/>
      <c r="GL15" s="687"/>
      <c r="GM15" s="687"/>
      <c r="GN15" s="687"/>
      <c r="GO15" s="687"/>
      <c r="GP15" s="687"/>
      <c r="GQ15" s="687"/>
      <c r="GR15" s="687"/>
      <c r="GS15" s="687"/>
      <c r="GT15" s="687"/>
      <c r="GU15" s="687"/>
      <c r="GV15" s="687"/>
      <c r="GW15" s="687"/>
      <c r="GX15" s="687"/>
      <c r="GY15" s="687"/>
      <c r="GZ15" s="687"/>
      <c r="HA15" s="687"/>
      <c r="HB15" s="687"/>
      <c r="HC15" s="687"/>
      <c r="HD15" s="687"/>
      <c r="HE15" s="687"/>
      <c r="HF15" s="687"/>
      <c r="HG15" s="687"/>
      <c r="HH15" s="687"/>
      <c r="HI15" s="423"/>
      <c r="HJ15" s="423"/>
      <c r="HK15" s="423"/>
      <c r="HL15" s="423"/>
      <c r="HM15" s="423"/>
      <c r="HN15" s="423"/>
      <c r="HO15" s="423"/>
      <c r="HP15" s="423"/>
      <c r="HQ15" s="423"/>
      <c r="HR15" s="423"/>
      <c r="HS15" s="423"/>
      <c r="HT15" s="423"/>
      <c r="HU15" s="423"/>
      <c r="HV15" s="423"/>
      <c r="HW15" s="423"/>
      <c r="HX15" s="423"/>
    </row>
    <row r="16" spans="1:232" s="414" customFormat="1" ht="16.5" x14ac:dyDescent="0.2">
      <c r="A16" s="414" t="s">
        <v>60</v>
      </c>
      <c r="B16" s="585">
        <v>1</v>
      </c>
      <c r="C16" s="585"/>
      <c r="D16" s="585"/>
      <c r="E16" s="585">
        <v>2</v>
      </c>
      <c r="F16" s="585">
        <v>3</v>
      </c>
      <c r="G16" s="585"/>
      <c r="H16" s="585"/>
      <c r="I16" s="585"/>
      <c r="J16" s="585"/>
      <c r="K16" s="585"/>
      <c r="L16" s="585"/>
      <c r="M16" s="585"/>
      <c r="N16" s="585"/>
      <c r="O16" s="585"/>
      <c r="P16" s="585"/>
      <c r="Q16" s="585"/>
      <c r="R16" s="807">
        <v>4</v>
      </c>
      <c r="S16" s="808"/>
      <c r="T16" s="585"/>
      <c r="U16" s="585"/>
      <c r="V16" s="807">
        <v>5</v>
      </c>
      <c r="W16" s="809"/>
      <c r="X16" s="808"/>
      <c r="Y16" s="585">
        <v>6</v>
      </c>
      <c r="Z16" s="585">
        <v>7</v>
      </c>
      <c r="AA16" s="585"/>
      <c r="AB16" s="585">
        <v>8</v>
      </c>
      <c r="AC16" s="585"/>
      <c r="AD16" s="585"/>
      <c r="AE16" s="585"/>
      <c r="AF16" s="585"/>
      <c r="AG16" s="585"/>
      <c r="AH16" s="585"/>
      <c r="AI16" s="585"/>
      <c r="AJ16" s="585"/>
      <c r="AK16" s="585"/>
      <c r="AL16" s="585"/>
      <c r="AM16" s="585"/>
      <c r="AN16" s="585"/>
      <c r="AO16" s="585">
        <v>9</v>
      </c>
      <c r="AP16" s="585">
        <v>10</v>
      </c>
      <c r="AQ16" s="585"/>
      <c r="AR16" s="585"/>
      <c r="AS16" s="585"/>
      <c r="AT16" s="585"/>
      <c r="AU16" s="585"/>
      <c r="AV16" s="585"/>
      <c r="AW16" s="585"/>
      <c r="AX16" s="585"/>
      <c r="AY16" s="585"/>
      <c r="AZ16" s="585"/>
      <c r="BA16" s="585"/>
      <c r="BB16" s="585"/>
      <c r="BC16" s="585"/>
      <c r="BD16" s="585"/>
      <c r="BE16" s="585"/>
      <c r="BF16" s="807">
        <v>6</v>
      </c>
      <c r="BG16" s="808"/>
      <c r="BH16" s="585"/>
      <c r="BI16" s="588"/>
      <c r="BJ16" s="807">
        <v>7</v>
      </c>
      <c r="BK16" s="809"/>
      <c r="BL16" s="808"/>
      <c r="BM16" s="807">
        <v>8</v>
      </c>
      <c r="BN16" s="808"/>
      <c r="BO16" s="807">
        <v>9</v>
      </c>
      <c r="BP16" s="808"/>
      <c r="BQ16" s="415"/>
      <c r="BR16" s="416"/>
      <c r="BS16" s="815" t="s">
        <v>57</v>
      </c>
      <c r="BT16" s="815"/>
      <c r="BU16" s="816"/>
      <c r="BV16" s="757">
        <v>11</v>
      </c>
      <c r="BW16" s="602">
        <v>8</v>
      </c>
      <c r="BX16" s="602"/>
      <c r="BY16" s="602"/>
      <c r="BZ16" s="602"/>
      <c r="CA16" s="602">
        <v>10</v>
      </c>
      <c r="CB16" s="602">
        <v>9</v>
      </c>
      <c r="CC16" s="603"/>
      <c r="CD16" s="603"/>
      <c r="CE16" s="604"/>
      <c r="CF16" s="604"/>
      <c r="CG16" s="603"/>
      <c r="CH16" s="603"/>
      <c r="CI16" s="603"/>
      <c r="CJ16" s="603"/>
      <c r="CK16" s="603"/>
      <c r="CL16" s="603"/>
      <c r="CM16" s="603"/>
      <c r="CN16" s="603"/>
      <c r="CO16" s="603"/>
      <c r="CP16" s="603"/>
      <c r="CQ16" s="603"/>
      <c r="CR16" s="617"/>
      <c r="CS16" s="617"/>
      <c r="CT16" s="617"/>
      <c r="CU16" s="617"/>
      <c r="CV16" s="617"/>
      <c r="CW16" s="617"/>
      <c r="CX16" s="617"/>
      <c r="CY16" s="617"/>
      <c r="CZ16" s="617"/>
      <c r="DA16" s="617"/>
      <c r="DB16" s="603"/>
      <c r="DC16" s="603"/>
      <c r="DD16" s="603"/>
      <c r="DE16" s="603"/>
      <c r="DF16" s="603"/>
      <c r="DG16" s="603"/>
      <c r="DH16" s="603"/>
      <c r="DI16" s="603"/>
      <c r="DJ16" s="603"/>
      <c r="DK16" s="603"/>
      <c r="DL16" s="603"/>
      <c r="DM16" s="603"/>
      <c r="DN16" s="603"/>
      <c r="DO16" s="603"/>
      <c r="DP16" s="603"/>
      <c r="DQ16" s="603"/>
      <c r="DR16" s="603"/>
      <c r="DS16" s="603"/>
      <c r="DT16" s="603"/>
      <c r="DU16" s="603"/>
      <c r="DV16" s="603"/>
      <c r="DW16" s="603"/>
      <c r="DX16" s="603"/>
      <c r="DY16" s="603"/>
      <c r="DZ16" s="603"/>
      <c r="EA16" s="603"/>
      <c r="EB16" s="603"/>
      <c r="EC16" s="603"/>
      <c r="ED16" s="603"/>
      <c r="EE16" s="603"/>
      <c r="EF16" s="603"/>
      <c r="EG16" s="603"/>
      <c r="EH16" s="603"/>
      <c r="EI16" s="603"/>
      <c r="EJ16" s="603"/>
      <c r="EK16" s="603"/>
      <c r="EL16" s="603"/>
      <c r="EM16" s="603"/>
      <c r="EN16" s="603"/>
      <c r="EO16" s="603"/>
      <c r="EP16" s="603"/>
      <c r="EQ16" s="603"/>
      <c r="ER16" s="603"/>
      <c r="ES16" s="603"/>
      <c r="ET16" s="603"/>
      <c r="EU16" s="603"/>
      <c r="EV16" s="603"/>
      <c r="EW16" s="603"/>
      <c r="EX16" s="603"/>
      <c r="EY16" s="603"/>
      <c r="EZ16" s="603"/>
      <c r="FA16" s="603"/>
      <c r="FB16" s="603"/>
      <c r="FC16" s="603"/>
      <c r="FD16" s="603"/>
      <c r="FE16" s="603"/>
      <c r="FF16" s="603"/>
      <c r="FG16" s="603"/>
      <c r="FH16" s="603"/>
      <c r="FI16" s="603"/>
      <c r="FJ16" s="603"/>
      <c r="FK16" s="603"/>
      <c r="FL16" s="603"/>
      <c r="FM16" s="603"/>
      <c r="FN16" s="603"/>
      <c r="FO16" s="603"/>
      <c r="FP16" s="688"/>
      <c r="FQ16" s="688"/>
      <c r="FR16" s="688"/>
      <c r="FS16" s="688"/>
      <c r="FT16" s="688"/>
      <c r="FU16" s="688"/>
      <c r="FV16" s="688"/>
      <c r="FW16" s="688"/>
      <c r="FX16" s="688"/>
      <c r="FY16" s="688"/>
      <c r="FZ16" s="688"/>
      <c r="GA16" s="688"/>
      <c r="GB16" s="688"/>
      <c r="GC16" s="688"/>
      <c r="GD16" s="688"/>
      <c r="GE16" s="688"/>
      <c r="GF16" s="688"/>
      <c r="GG16" s="688"/>
      <c r="GH16" s="688"/>
      <c r="GI16" s="688"/>
      <c r="GJ16" s="688"/>
      <c r="GK16" s="688"/>
      <c r="GL16" s="688"/>
      <c r="GM16" s="688"/>
      <c r="GN16" s="688"/>
      <c r="GO16" s="688"/>
      <c r="GP16" s="688"/>
      <c r="GQ16" s="688"/>
      <c r="GR16" s="688"/>
      <c r="GS16" s="688"/>
      <c r="GT16" s="688"/>
      <c r="GU16" s="688"/>
      <c r="GV16" s="688"/>
      <c r="GW16" s="688"/>
      <c r="GX16" s="688"/>
      <c r="GY16" s="688"/>
      <c r="GZ16" s="688"/>
      <c r="HA16" s="688"/>
      <c r="HB16" s="688"/>
      <c r="HC16" s="688"/>
      <c r="HD16" s="688"/>
      <c r="HE16" s="688"/>
      <c r="HF16" s="688"/>
      <c r="HG16" s="688"/>
      <c r="HH16" s="688"/>
      <c r="HI16" s="595"/>
      <c r="HJ16" s="595"/>
      <c r="HK16" s="595"/>
      <c r="HL16" s="595"/>
      <c r="HM16" s="595"/>
      <c r="HN16" s="595"/>
      <c r="HO16" s="595"/>
      <c r="HP16" s="595"/>
      <c r="HQ16" s="595"/>
      <c r="HR16" s="595"/>
      <c r="HS16" s="595"/>
      <c r="HT16" s="595"/>
      <c r="HU16" s="595"/>
      <c r="HV16" s="595"/>
      <c r="HW16" s="595"/>
      <c r="HX16" s="595"/>
    </row>
    <row r="17" spans="1:224" s="488" customFormat="1" ht="22.5" customHeight="1" x14ac:dyDescent="0.2">
      <c r="A17" s="98">
        <v>119</v>
      </c>
      <c r="B17" s="864">
        <v>1</v>
      </c>
      <c r="C17" s="98"/>
      <c r="D17" s="98" t="str">
        <f t="shared" ref="D17:D48" si="0">IF(F17="Nam","Ông","Bà")</f>
        <v>Ông</v>
      </c>
      <c r="E17" s="162" t="s">
        <v>246</v>
      </c>
      <c r="F17" s="98" t="s">
        <v>63</v>
      </c>
      <c r="G17" s="437" t="s">
        <v>247</v>
      </c>
      <c r="H17" s="438" t="s">
        <v>53</v>
      </c>
      <c r="I17" s="439">
        <v>8</v>
      </c>
      <c r="J17" s="438" t="s">
        <v>53</v>
      </c>
      <c r="K17" s="440">
        <v>1974</v>
      </c>
      <c r="L17" s="441" t="s">
        <v>83</v>
      </c>
      <c r="M17" s="442" t="str">
        <f t="shared" ref="M17:M48" si="1">IF(L17="công chức","CC",IF(L17="viên chức","VC",IF(L17="người lao động","NLĐ","- - -")))</f>
        <v>VC</v>
      </c>
      <c r="N17" s="443"/>
      <c r="O17" s="444" t="e">
        <f t="shared" ref="O17:O48" si="2">IF(AND((Q17+0)&gt;0.3,(Q17+0)&lt;1.5),"CVụ","- -")</f>
        <v>#N/A</v>
      </c>
      <c r="P17" s="445"/>
      <c r="Q17" s="446" t="e">
        <f>VLOOKUP(P17,'[2]- DLiêu Gốc -'!$C$2:$H$114,2,0)</f>
        <v>#N/A</v>
      </c>
      <c r="R17" s="584"/>
      <c r="S17" s="448" t="s">
        <v>248</v>
      </c>
      <c r="T17" s="449" t="str">
        <f>VLOOKUP(Y17,'[2]- DLiêu Gốc -'!$C$2:$H$60,5,0)</f>
        <v>A1</v>
      </c>
      <c r="U17" s="450" t="str">
        <f>VLOOKUP(Y17,'[2]- DLiêu Gốc -'!$C$2:$H$60,6,0)</f>
        <v>- - -</v>
      </c>
      <c r="V17" s="727" t="s">
        <v>73</v>
      </c>
      <c r="W17" s="728" t="str">
        <f t="shared" ref="W17:W48" si="3">IF(OR(Y17="Kỹ thuật viên đánh máy",Y17="Nhân viên đánh máy",Y17="Nhân viên kỹ thuật",Y17="Nhân viên văn thư",Y17="Nhân viên phục vụ",Y17="Lái xe cơ quan",Y17="Nhân viên bảo vệ"),"Nhân viên",Y17)</f>
        <v>Giảng viên (hạng III)</v>
      </c>
      <c r="X17" s="729" t="str">
        <f t="shared" ref="X17:X48" si="4">IF(W17="Nhân viên","01.005",Z17)</f>
        <v>V.07.01.03</v>
      </c>
      <c r="Y17" s="451" t="s">
        <v>77</v>
      </c>
      <c r="Z17" s="451" t="str">
        <f>VLOOKUP(Y17,'[2]- DLiêu Gốc -'!$C$1:$H$132,2,0)</f>
        <v>V.07.01.03</v>
      </c>
      <c r="AA17" s="268" t="str">
        <f t="shared" ref="AA17:AA48" si="5">IF(OR(AND(BB17=36,BA17=3),AND(BB17=24,BA17=2),AND(BB17=12,BA17=1)),"Đến $",IF(OR(AND(BB17&gt;36,BA17=3),AND(BB17&gt;24,BA17=2),AND(BB17&gt;12,BA17=1)),"Dừng $","Lương"))</f>
        <v>Lương</v>
      </c>
      <c r="AB17" s="452">
        <v>6</v>
      </c>
      <c r="AC17" s="453" t="str">
        <f t="shared" ref="AC17:AC48" si="6">IF(AD17&gt;0,"/")</f>
        <v>/</v>
      </c>
      <c r="AD17" s="454">
        <f t="shared" ref="AD17:AD48" si="7">IF(OR(BD17=0.18,BD17=0.2),12,IF(BD17=0.31,10,IF(BD17=0.33,9,IF(BD17=0.34,8,IF(BD17=0.36,6)))))</f>
        <v>9</v>
      </c>
      <c r="AE17" s="455">
        <f t="shared" ref="AE17:AE48" si="8">BC17+(AB17-1)*BD17</f>
        <v>3.99</v>
      </c>
      <c r="AF17" s="456"/>
      <c r="AG17" s="456"/>
      <c r="AH17" s="457"/>
      <c r="AI17" s="458"/>
      <c r="AJ17" s="459"/>
      <c r="AK17" s="458"/>
      <c r="AL17" s="460"/>
      <c r="AM17" s="461"/>
      <c r="AN17" s="462"/>
      <c r="AO17" s="463">
        <f t="shared" ref="AO17:AO44" si="9">AB17+1</f>
        <v>7</v>
      </c>
      <c r="AP17" s="464" t="str">
        <f t="shared" ref="AP17:AP48" si="10">IF(AD17=AB17,"%",IF(AD17&gt;AB17,"/"))</f>
        <v>/</v>
      </c>
      <c r="AQ17" s="465">
        <f t="shared" ref="AQ17:AQ44" si="11">IF(AND(AD17=AB17,AO17=4),5,IF(AND(AD17=AB17,AO17&gt;4),AO17+1,IF(AD17&gt;AB17,AD17)))</f>
        <v>9</v>
      </c>
      <c r="AR17" s="265">
        <f t="shared" ref="AR17:AR44" si="12">IF(AD17=AB17,"%",IF(AD17&gt;AB17,AE17+BD17))</f>
        <v>4.32</v>
      </c>
      <c r="AS17" s="466"/>
      <c r="AT17" s="467" t="s">
        <v>43</v>
      </c>
      <c r="AU17" s="468" t="s">
        <v>53</v>
      </c>
      <c r="AV17" s="469" t="s">
        <v>49</v>
      </c>
      <c r="AW17" s="468" t="s">
        <v>53</v>
      </c>
      <c r="AX17" s="470">
        <v>2017</v>
      </c>
      <c r="AY17" s="471"/>
      <c r="AZ17" s="472"/>
      <c r="BA17" s="266">
        <f t="shared" ref="BA17:BA48" si="13">IF(AND(AD17&gt;AB17,OR(BD17=0.18,BD17=0.2)),2,IF(AND(AD17&gt;AB17,OR(BD17=0.31,BD17=0.33,BD17=0.34,BD17=0.36)),3,IF(AD17=AB17,1)))</f>
        <v>3</v>
      </c>
      <c r="BB17" s="473">
        <f t="shared" ref="BB17:BB48" si="14">12*($AA$2-AX17)+($AA$3-AV17)-AM17</f>
        <v>-24211</v>
      </c>
      <c r="BC17" s="267">
        <f>VLOOKUP(Y17,'[2]- DLiêu Gốc -'!$C$1:$F$60,3,0)</f>
        <v>2.34</v>
      </c>
      <c r="BD17" s="267">
        <f>VLOOKUP(Y17,'[2]- DLiêu Gốc -'!$C$1:$F$60,4,0)</f>
        <v>0.33</v>
      </c>
      <c r="BE17" s="474" t="str">
        <f t="shared" ref="BE17:BE48" si="15">IF(AND(BF17&gt;3,BX17=12),"Đến %",IF(AND(BF17&gt;3,BX17&gt;12,BX17&lt;120),"Dừng %",IF(AND(BF17&gt;3,BX17&lt;12),"PCTN","o-o-o")))</f>
        <v>PCTN</v>
      </c>
      <c r="BF17" s="475">
        <v>14</v>
      </c>
      <c r="BG17" s="476" t="s">
        <v>41</v>
      </c>
      <c r="BH17" s="477" t="s">
        <v>43</v>
      </c>
      <c r="BI17" s="478" t="s">
        <v>53</v>
      </c>
      <c r="BJ17" s="730">
        <v>5</v>
      </c>
      <c r="BK17" s="479" t="s">
        <v>53</v>
      </c>
      <c r="BL17" s="480">
        <v>2017</v>
      </c>
      <c r="BM17" s="481"/>
      <c r="BN17" s="482"/>
      <c r="BO17" s="483">
        <f t="shared" ref="BO17:BO48" si="16">IF(BF17&gt;3,BF17+1,0)</f>
        <v>15</v>
      </c>
      <c r="BP17" s="484" t="s">
        <v>41</v>
      </c>
      <c r="BQ17" s="485" t="s">
        <v>43</v>
      </c>
      <c r="BR17" s="468" t="s">
        <v>53</v>
      </c>
      <c r="BS17" s="486">
        <v>5</v>
      </c>
      <c r="BT17" s="487" t="s">
        <v>53</v>
      </c>
      <c r="BU17" s="51">
        <v>2018</v>
      </c>
      <c r="BV17" s="731"/>
      <c r="BW17" s="865">
        <v>5</v>
      </c>
      <c r="BX17" s="840">
        <f t="shared" ref="BX17:BX48" si="17">IF(BF17&gt;3,(($BE$2-BU17)*12+($BE$3-BS17)-BM17),"- - -")</f>
        <v>-24221</v>
      </c>
      <c r="BY17" s="474" t="str">
        <f t="shared" ref="BY17:BY48" si="18">IF(AND(CU17="Hưu",BF17&gt;3),12-(12*(DA17-BU17)+(CZ17-BS17))-BM17,"- - -")</f>
        <v>- - -</v>
      </c>
      <c r="BZ17" s="732" t="str">
        <f t="shared" ref="BZ17:BZ48" si="19">IF(OR(S17="Ban Tổ chức - Cán bộ",S17="Văn phòng Học viện",S17="Phó Giám đốc Thường trực Học viện",S17="Phó Giám đốc Học viện"),"Chánh Văn phòng Học viện, Trưởng Ban Tổ chức - Cán bộ",IF(OR(S17="Trung tâm Ngoại ngữ",S17="Trung tâm Tin học hành chính và Công nghệ thông tin",S17="Trung tâm Tin học - Thư viện",S17="Phân viện khu vực Tây Nguyên"),"Chánh Văn phòng Học viện, Trưởng Ban Tổ chức - Cán bộ, "&amp;CONCATENATE("Giám đốc ",S17),IF(S17="Tạp chí Quản lý nhà nước","Chánh Văn phòng Học viện, Trưởng Ban Tổ chức - Cán bộ, "&amp;CONCATENATE("Tổng Biên tập ",S17),IF(S17="Văn phòng Đảng uỷ Học viện","Chánh Văn phòng Học viện, Trưởng Ban Tổ chức - Cán bộ, "&amp;CONCATENATE("Chánh",S17),IF(S17="Viện Nghiên cứu Khoa học hành chính","Chánh Văn phòng Học viện, Trưởng Ban Tổ chức - Cán bộ, "&amp;CONCATENATE("Viện Trưởng ",S17),IF(OR(S17="Cơ sở Học viện Hành chính Quốc gia khu vực miền Trung",S17="Cơ sở Học viện Hành chính Quốc gia tại Thành phố Hồ Chí Minh"),"Chánh Văn phòng Học viện, Trưởng Ban Tổ chức - Cán bộ, "&amp;CONCATENATE("Thủ trưởng ",S17),"Chánh Văn phòng Học viện, Trưởng Ban Tổ chức - Cán bộ, "&amp;CONCATENATE("Trưởng ",S17)))))))</f>
        <v>Chánh Văn phòng Học viện, Trưởng Ban Tổ chức - Cán bộ, Trưởng Bộ môn Ngoại ngữ</v>
      </c>
      <c r="CA17" s="3" t="str">
        <f t="shared" ref="CA17:CA48" si="20">IF(S17="Cơ sở Học viện Hành chính khu vực miền Trung","B",IF(S17="Phân viện Khu vực Tây Nguyên","C",IF(S17="Cơ sở Học viện Hành chính tại thành phố Hồ Chí Minh","D","A")))</f>
        <v>A</v>
      </c>
      <c r="CB17" s="733" t="str">
        <f t="shared" ref="CB17:CB48" si="21">IF(AND(AO17&gt;0,AB17&lt;(AD17-1),CC17&gt;0,CC17&lt;13,OR(AND(CI17="Cùg Ng",($CB$2-CE17)&gt;BA17),CI17="- - -")),"Sớm TT","=&gt; s")</f>
        <v>=&gt; s</v>
      </c>
      <c r="CC17" s="268">
        <f t="shared" ref="CC17:CC48" si="22">IF(BA17=3,36-(12*($CB$2-AX17)+(12-AV17)-AM17),IF(BA17=2,24-(12*($CB$2-AX17)+(12-AV17)-AM17),"---"))</f>
        <v>24235</v>
      </c>
      <c r="CD17" s="98" t="str">
        <f t="shared" ref="CD17:CD48" si="23">IF(CE17&gt;1,"S","---")</f>
        <v>---</v>
      </c>
      <c r="CE17" s="98"/>
      <c r="CF17" s="866"/>
      <c r="CG17" s="98"/>
      <c r="CH17" s="734"/>
      <c r="CI17" s="98" t="str">
        <f t="shared" ref="CI17:CI48" si="24">IF(X17=CF17,"Cùg Ng","- - -")</f>
        <v>- - -</v>
      </c>
      <c r="CJ17" s="269" t="str">
        <f t="shared" ref="CJ17:CJ48" si="25">IF(CL17&gt;2000,"NN","- - -")</f>
        <v>- - -</v>
      </c>
      <c r="CK17" s="735"/>
      <c r="CL17" s="736"/>
      <c r="CM17" s="735"/>
      <c r="CN17" s="737"/>
      <c r="CO17" s="269" t="str">
        <f t="shared" ref="CO17:CO48" si="26">IF(CQ17&gt;2000,"CN","- - -")</f>
        <v>- - -</v>
      </c>
      <c r="CP17" s="735"/>
      <c r="CQ17" s="736"/>
      <c r="CR17" s="735"/>
      <c r="CS17" s="737"/>
      <c r="CT17" s="738" t="str">
        <f t="shared" ref="CT17:CT48" si="27">IF(AND(CU17="Hưu",AB17&lt;(AD17-1),DB17&gt;0,DB17&lt;18,OR(BF17&lt;4,AND(BF17&gt;3,OR(BY17&lt;3,BY17&gt;5)))),"Lg Sớm",IF(AND(CU17="Hưu",AB17&gt;(AD17-2),OR(BD17=0.33,BD17=0.34),OR(BF17&lt;4,AND(BF17&gt;3,OR(BY17&lt;3,BY17&gt;5)))),"Nâng Ngạch",IF(AND(CU17="Hưu",BA17=1,DB17&gt;2,DB17&lt;6,OR(BF17&lt;4,AND(BF17&gt;3,OR(BY17&lt;3,BY17&gt;5)))),"Nâng PcVK cùng QĐ",IF(AND(CU17="Hưu",BF17&gt;3,BY17&gt;2,BY17&lt;6,AB17&lt;(AD17-1),DB17&gt;17,OR(BA17&gt;1,AND(BA17=1,OR(DB17&lt;3,DB17&gt;5)))),"Nâng PcNG cùng QĐ",IF(AND(CU17="Hưu",AB17&lt;(AD17-1),DB17&gt;0,DB17&lt;18,BF17&gt;3,BY17&gt;2,BY17&lt;6),"Nâng Lg Sớm +(PcNG cùng QĐ)",IF(AND(CU17="Hưu",AB17&gt;(AD17-2),OR(BD17=0.33,BD17=0.34),BF17&gt;3,BY17&gt;2,BY17&lt;6),"Nâng Ngạch +(PcNG cùng QĐ)",IF(AND(CU17="Hưu",BA17=1,DB17&gt;2,DB17&lt;6,BF17&gt;3,BY17&gt;2,BY17&lt;6),"Nâng (PcVK +PcNG) cùng QĐ",("---"))))))))</f>
        <v>---</v>
      </c>
      <c r="CU17" s="739" t="str">
        <f t="shared" ref="CU17:CU48" si="28">IF(AND(DF17&gt;DE17,DF17&lt;(DE17+13)),"Hưu",IF(AND(DF17&gt;(DE17+12),DF17&lt;1000),"Quá","/-/ /-/"))</f>
        <v>/-/ /-/</v>
      </c>
      <c r="CV17" s="740">
        <f t="shared" ref="CV17:CV48" si="29">IF((I17+0)&lt;12,(I17+0)+1,IF((I17+0)=12,1,IF((I17+0)&gt;12,(I17+0)-12)))</f>
        <v>9</v>
      </c>
      <c r="CW17" s="741">
        <f t="shared" ref="CW17:CW48" si="30">IF(OR((I17+0)=12,(I17+0)&gt;12),K17+DE17/12+1,IF(AND((I17+0)&gt;0,(I17+0)&lt;12),K17+DE17/12,"---"))</f>
        <v>2034</v>
      </c>
      <c r="CX17" s="740">
        <f t="shared" ref="CX17:CX48" si="31">IF(AND(CV17&gt;3,CV17&lt;13),CV17-3,IF(CV17&lt;4,CV17-3+12))</f>
        <v>6</v>
      </c>
      <c r="CY17" s="741">
        <f t="shared" ref="CY17:CY48" si="32">IF(CX17&lt;CV17,CW17,IF(CX17&gt;CV17,CW17-1))</f>
        <v>2034</v>
      </c>
      <c r="CZ17" s="740">
        <f t="shared" ref="CZ17:CZ48" si="33">IF(CV17&gt;6,CV17-6,IF(CV17=6,12,IF(CV17&lt;6,CV17+6)))</f>
        <v>3</v>
      </c>
      <c r="DA17" s="741">
        <f t="shared" ref="DA17:DA48" si="34">IF(CV17&gt;6,CW17,IF(CV17&lt;7,CW17-1))</f>
        <v>2034</v>
      </c>
      <c r="DB17" s="742" t="str">
        <f t="shared" ref="DB17:DB48" si="35">IF(AND(CU17="Hưu",BA17=3),36+AM17-(12*(DA17-AX17)+(CZ17-AV17)),IF(AND(CU17="Hưu",BA17=2),24+AM17-(12*(DA17-AX17)+(CZ17-AV17)),IF(AND(CU17="Hưu",BA17=1),12+AM17-(12*(DA17-AX17)+(CZ17-AV17)),"- - -")))</f>
        <v>- - -</v>
      </c>
      <c r="DC17" s="743" t="str">
        <f t="shared" ref="DC17:DC48" si="36">IF(DD17&gt;0,"K.Dài",". .")</f>
        <v>. .</v>
      </c>
      <c r="DD17" s="743"/>
      <c r="DE17" s="268">
        <f t="shared" ref="DE17:DE48" si="37">IF(F17="Nam",(60+DD17)*12,IF(F17="Nữ",(55+DD17)*12,))</f>
        <v>720</v>
      </c>
      <c r="DF17" s="268">
        <f t="shared" ref="DF17:DF48" si="38">12*($CU$4-K17)+(12-I17)</f>
        <v>-23684</v>
      </c>
      <c r="DG17" s="268">
        <f t="shared" ref="DG17:DG48" si="39">$DK$4-K17</f>
        <v>-1974</v>
      </c>
      <c r="DH17" s="268" t="str">
        <f t="shared" ref="DH17:DH48" si="40">IF(AND(DG17&lt;35,F17="Nam"),"Nam dưới 35",IF(AND(DG17&lt;30,F17="Nữ"),"Nữ dưới 30",IF(AND(DG17&gt;34,DG17&lt;46,F17="Nam"),"Nam từ 35 - 45",IF(AND(DG17&gt;29,DG17&lt;41,F17="Nữ"),"Nữ từ 30 - 40",IF(AND(DG17&gt;45,DG17&lt;56,F17="Nam"),"Nam trên 45 - 55",IF(AND(DG17&gt;40,DG17&lt;51,F17="Nữ"),"Nữ trên 40 - 50",IF(AND(DG17&gt;55,F17="Nam"),"Nam trên 55","Nữ trên 50")))))))</f>
        <v>Nam dưới 35</v>
      </c>
      <c r="DI17" s="268"/>
      <c r="DJ17" s="268"/>
      <c r="DK17" s="474" t="str">
        <f t="shared" ref="DK17:DK48" si="41">IF(DG17&lt;31,"Đến 30",IF(AND(DG17&gt;30,DG17&lt;46),"31 - 45",IF(AND(DG17&gt;45,DG17&lt;70),"Trên 45")))</f>
        <v>Đến 30</v>
      </c>
      <c r="DL17" s="735" t="str">
        <f t="shared" ref="DL17:DL48" si="42">IF(DM17&gt;0,"TD","--")</f>
        <v>TD</v>
      </c>
      <c r="DM17" s="744">
        <v>2009</v>
      </c>
      <c r="DN17" s="98"/>
      <c r="DO17" s="745"/>
      <c r="DP17" s="744"/>
      <c r="DQ17" s="737"/>
      <c r="DR17" s="746"/>
      <c r="DS17" s="279"/>
      <c r="DT17" s="270"/>
      <c r="DU17" s="51"/>
      <c r="DV17" s="447"/>
      <c r="DW17" s="467" t="s">
        <v>248</v>
      </c>
      <c r="DX17" s="469"/>
      <c r="DY17" s="469" t="s">
        <v>43</v>
      </c>
      <c r="DZ17" s="469" t="s">
        <v>53</v>
      </c>
      <c r="EA17" s="747" t="s">
        <v>49</v>
      </c>
      <c r="EB17" s="469" t="s">
        <v>53</v>
      </c>
      <c r="EC17" s="748" t="s">
        <v>55</v>
      </c>
      <c r="ED17" s="467">
        <f t="shared" ref="ED17:ED48" si="43">(DY17+0)-(EF17+0)</f>
        <v>0</v>
      </c>
      <c r="EE17" s="469" t="str">
        <f t="shared" ref="EE17:EE48" si="44">IF(ED17&gt;0,"Sửa","- - -")</f>
        <v>- - -</v>
      </c>
      <c r="EF17" s="469" t="s">
        <v>43</v>
      </c>
      <c r="EG17" s="469" t="s">
        <v>53</v>
      </c>
      <c r="EH17" s="747" t="s">
        <v>49</v>
      </c>
      <c r="EI17" s="98" t="s">
        <v>53</v>
      </c>
      <c r="EJ17" s="269" t="s">
        <v>55</v>
      </c>
      <c r="EK17" s="271"/>
      <c r="EL17" s="51" t="str">
        <f t="shared" ref="EL17:EL48" si="45">IF(AND(BD17&gt;0.34,AO17=1,OR(BC17=6.2,BC17=5.75)),((BC17-EK17)-2*0.34),IF(AND(BD17&gt;0.33,AO17=1,OR(BC17=4.4,BC17=4)),((BC17-EK17)-2*0.33),"- - -"))</f>
        <v>- - -</v>
      </c>
      <c r="EM17" s="749" t="str">
        <f t="shared" ref="EM17:EM48" si="46">IF(CU17="Hưu",12*(DA17-AX17)+(CZ17-AV17),"---")</f>
        <v>---</v>
      </c>
      <c r="EN17" s="749"/>
      <c r="EO17" s="749"/>
      <c r="EP17" s="749"/>
      <c r="EQ17" s="749"/>
      <c r="ER17" s="749"/>
      <c r="ES17" s="749"/>
      <c r="ET17" s="749"/>
      <c r="EU17" s="749"/>
      <c r="EV17" s="749"/>
      <c r="EW17" s="749"/>
      <c r="EX17" s="749"/>
      <c r="EY17" s="749"/>
      <c r="EZ17" s="749"/>
      <c r="FA17" s="749"/>
      <c r="FB17" s="749"/>
      <c r="FC17" s="749"/>
      <c r="FD17" s="749"/>
      <c r="FE17" s="749"/>
      <c r="FF17" s="749"/>
      <c r="FG17" s="749"/>
      <c r="FH17" s="749"/>
      <c r="FI17" s="749"/>
      <c r="FJ17" s="749"/>
      <c r="FK17" s="750"/>
      <c r="FL17" s="750"/>
      <c r="FM17" s="750"/>
      <c r="FN17" s="750"/>
      <c r="FO17" s="750"/>
      <c r="FP17" s="867"/>
      <c r="FQ17" s="867"/>
      <c r="FR17" s="867"/>
      <c r="FS17" s="867"/>
      <c r="FT17" s="867"/>
      <c r="FU17" s="867"/>
      <c r="FV17" s="867"/>
      <c r="FW17" s="867"/>
      <c r="FX17" s="867"/>
      <c r="FY17" s="867"/>
      <c r="FZ17" s="867"/>
      <c r="GA17" s="867"/>
      <c r="GB17" s="867"/>
      <c r="GC17" s="867"/>
      <c r="GD17" s="867"/>
      <c r="GE17" s="867"/>
      <c r="GF17" s="867"/>
      <c r="GG17" s="867"/>
      <c r="GH17" s="867"/>
      <c r="GI17" s="867"/>
      <c r="GJ17" s="867"/>
      <c r="GK17" s="867"/>
      <c r="GL17" s="867"/>
      <c r="GM17" s="867"/>
      <c r="GN17" s="867"/>
      <c r="GO17" s="867"/>
      <c r="GP17" s="867"/>
      <c r="GQ17" s="867"/>
      <c r="GR17" s="867"/>
      <c r="GS17" s="867"/>
      <c r="GT17" s="867"/>
      <c r="GU17" s="867"/>
      <c r="GV17" s="867"/>
      <c r="GW17" s="867"/>
      <c r="GX17" s="867"/>
      <c r="GY17" s="867"/>
      <c r="GZ17" s="867"/>
      <c r="HA17" s="867"/>
      <c r="HB17" s="867"/>
      <c r="HC17" s="867"/>
      <c r="HD17" s="867"/>
      <c r="HE17" s="867"/>
      <c r="HF17" s="867"/>
      <c r="HG17" s="867"/>
      <c r="HH17" s="867"/>
      <c r="HI17" s="867"/>
      <c r="HJ17" s="867"/>
      <c r="HK17" s="867"/>
      <c r="HL17" s="867"/>
      <c r="HM17" s="867"/>
      <c r="HN17" s="867"/>
      <c r="HO17" s="867"/>
      <c r="HP17" s="867"/>
    </row>
    <row r="18" spans="1:224" s="488" customFormat="1" ht="22.5" customHeight="1" x14ac:dyDescent="0.2">
      <c r="A18" s="98">
        <v>123</v>
      </c>
      <c r="B18" s="864">
        <v>2</v>
      </c>
      <c r="C18" s="98"/>
      <c r="D18" s="98" t="str">
        <f t="shared" si="0"/>
        <v>Bà</v>
      </c>
      <c r="E18" s="162" t="s">
        <v>249</v>
      </c>
      <c r="F18" s="98" t="s">
        <v>64</v>
      </c>
      <c r="G18" s="437" t="s">
        <v>33</v>
      </c>
      <c r="H18" s="438" t="s">
        <v>53</v>
      </c>
      <c r="I18" s="439" t="s">
        <v>58</v>
      </c>
      <c r="J18" s="438" t="s">
        <v>53</v>
      </c>
      <c r="K18" s="440" t="s">
        <v>147</v>
      </c>
      <c r="L18" s="441" t="s">
        <v>83</v>
      </c>
      <c r="M18" s="442" t="str">
        <f t="shared" si="1"/>
        <v>VC</v>
      </c>
      <c r="N18" s="443"/>
      <c r="O18" s="444" t="e">
        <f t="shared" si="2"/>
        <v>#N/A</v>
      </c>
      <c r="P18" s="445"/>
      <c r="Q18" s="446" t="e">
        <f>VLOOKUP(P18,'[2]- DLiêu Gốc -'!$C$2:$H$114,2,0)</f>
        <v>#N/A</v>
      </c>
      <c r="R18" s="584"/>
      <c r="S18" s="448" t="s">
        <v>248</v>
      </c>
      <c r="T18" s="449" t="str">
        <f>VLOOKUP(Y18,'[2]- DLiêu Gốc -'!$C$2:$H$60,5,0)</f>
        <v>A1</v>
      </c>
      <c r="U18" s="450" t="str">
        <f>VLOOKUP(Y18,'[2]- DLiêu Gốc -'!$C$2:$H$60,6,0)</f>
        <v>- - -</v>
      </c>
      <c r="V18" s="727" t="s">
        <v>73</v>
      </c>
      <c r="W18" s="728" t="str">
        <f t="shared" si="3"/>
        <v>Giảng viên (hạng III)</v>
      </c>
      <c r="X18" s="729" t="str">
        <f t="shared" si="4"/>
        <v>V.07.01.03</v>
      </c>
      <c r="Y18" s="451" t="s">
        <v>77</v>
      </c>
      <c r="Z18" s="451" t="str">
        <f>VLOOKUP(Y18,'[2]- DLiêu Gốc -'!$C$1:$H$132,2,0)</f>
        <v>V.07.01.03</v>
      </c>
      <c r="AA18" s="268" t="str">
        <f t="shared" si="5"/>
        <v>Lương</v>
      </c>
      <c r="AB18" s="452">
        <v>5</v>
      </c>
      <c r="AC18" s="453" t="str">
        <f t="shared" si="6"/>
        <v>/</v>
      </c>
      <c r="AD18" s="454">
        <f t="shared" si="7"/>
        <v>9</v>
      </c>
      <c r="AE18" s="455">
        <f t="shared" si="8"/>
        <v>3.66</v>
      </c>
      <c r="AF18" s="456"/>
      <c r="AG18" s="456"/>
      <c r="AH18" s="457"/>
      <c r="AI18" s="458"/>
      <c r="AJ18" s="459"/>
      <c r="AK18" s="458"/>
      <c r="AL18" s="460"/>
      <c r="AM18" s="461"/>
      <c r="AN18" s="462"/>
      <c r="AO18" s="463">
        <f t="shared" si="9"/>
        <v>6</v>
      </c>
      <c r="AP18" s="464" t="str">
        <f t="shared" si="10"/>
        <v>/</v>
      </c>
      <c r="AQ18" s="465">
        <f t="shared" si="11"/>
        <v>9</v>
      </c>
      <c r="AR18" s="265">
        <f t="shared" si="12"/>
        <v>3.99</v>
      </c>
      <c r="AS18" s="466"/>
      <c r="AT18" s="467" t="s">
        <v>43</v>
      </c>
      <c r="AU18" s="468" t="s">
        <v>53</v>
      </c>
      <c r="AV18" s="469" t="s">
        <v>46</v>
      </c>
      <c r="AW18" s="468" t="s">
        <v>53</v>
      </c>
      <c r="AX18" s="470">
        <v>2016</v>
      </c>
      <c r="AY18" s="471"/>
      <c r="AZ18" s="472"/>
      <c r="BA18" s="266">
        <f t="shared" si="13"/>
        <v>3</v>
      </c>
      <c r="BB18" s="473">
        <f t="shared" si="14"/>
        <v>-24198</v>
      </c>
      <c r="BC18" s="267">
        <f>VLOOKUP(Y18,'[2]- DLiêu Gốc -'!$C$1:$F$60,3,0)</f>
        <v>2.34</v>
      </c>
      <c r="BD18" s="267">
        <f>VLOOKUP(Y18,'[2]- DLiêu Gốc -'!$C$1:$F$60,4,0)</f>
        <v>0.33</v>
      </c>
      <c r="BE18" s="474" t="str">
        <f t="shared" si="15"/>
        <v>PCTN</v>
      </c>
      <c r="BF18" s="475">
        <v>14</v>
      </c>
      <c r="BG18" s="476" t="s">
        <v>41</v>
      </c>
      <c r="BH18" s="477" t="s">
        <v>43</v>
      </c>
      <c r="BI18" s="478" t="s">
        <v>53</v>
      </c>
      <c r="BJ18" s="730">
        <v>5</v>
      </c>
      <c r="BK18" s="479" t="s">
        <v>53</v>
      </c>
      <c r="BL18" s="480">
        <v>2017</v>
      </c>
      <c r="BM18" s="481"/>
      <c r="BN18" s="482"/>
      <c r="BO18" s="483">
        <f t="shared" si="16"/>
        <v>15</v>
      </c>
      <c r="BP18" s="484" t="s">
        <v>41</v>
      </c>
      <c r="BQ18" s="485" t="s">
        <v>43</v>
      </c>
      <c r="BR18" s="468" t="s">
        <v>53</v>
      </c>
      <c r="BS18" s="486">
        <v>5</v>
      </c>
      <c r="BT18" s="487" t="s">
        <v>53</v>
      </c>
      <c r="BU18" s="51">
        <v>2018</v>
      </c>
      <c r="BV18" s="731"/>
      <c r="BW18" s="865">
        <v>5</v>
      </c>
      <c r="BX18" s="840">
        <f t="shared" si="17"/>
        <v>-24221</v>
      </c>
      <c r="BY18" s="474" t="str">
        <f t="shared" si="18"/>
        <v>- - -</v>
      </c>
      <c r="BZ18" s="732" t="str">
        <f t="shared" si="19"/>
        <v>Chánh Văn phòng Học viện, Trưởng Ban Tổ chức - Cán bộ, Trưởng Bộ môn Ngoại ngữ</v>
      </c>
      <c r="CA18" s="3" t="str">
        <f t="shared" si="20"/>
        <v>A</v>
      </c>
      <c r="CB18" s="733" t="str">
        <f t="shared" si="21"/>
        <v>=&gt; s</v>
      </c>
      <c r="CC18" s="268">
        <f t="shared" si="22"/>
        <v>24222</v>
      </c>
      <c r="CD18" s="98" t="str">
        <f t="shared" si="23"/>
        <v>---</v>
      </c>
      <c r="CE18" s="98"/>
      <c r="CF18" s="866"/>
      <c r="CG18" s="98"/>
      <c r="CH18" s="734"/>
      <c r="CI18" s="98" t="str">
        <f t="shared" si="24"/>
        <v>- - -</v>
      </c>
      <c r="CJ18" s="269" t="str">
        <f t="shared" si="25"/>
        <v>- - -</v>
      </c>
      <c r="CK18" s="735"/>
      <c r="CL18" s="736"/>
      <c r="CM18" s="735"/>
      <c r="CN18" s="737"/>
      <c r="CO18" s="269" t="str">
        <f t="shared" si="26"/>
        <v>- - -</v>
      </c>
      <c r="CP18" s="735"/>
      <c r="CQ18" s="736"/>
      <c r="CR18" s="735"/>
      <c r="CS18" s="737"/>
      <c r="CT18" s="738" t="str">
        <f t="shared" si="27"/>
        <v>---</v>
      </c>
      <c r="CU18" s="739" t="str">
        <f t="shared" si="28"/>
        <v>/-/ /-/</v>
      </c>
      <c r="CV18" s="740">
        <f t="shared" si="29"/>
        <v>12</v>
      </c>
      <c r="CW18" s="741">
        <f t="shared" si="30"/>
        <v>2032</v>
      </c>
      <c r="CX18" s="740">
        <f t="shared" si="31"/>
        <v>9</v>
      </c>
      <c r="CY18" s="741">
        <f t="shared" si="32"/>
        <v>2032</v>
      </c>
      <c r="CZ18" s="740">
        <f t="shared" si="33"/>
        <v>6</v>
      </c>
      <c r="DA18" s="741">
        <f t="shared" si="34"/>
        <v>2032</v>
      </c>
      <c r="DB18" s="742" t="str">
        <f t="shared" si="35"/>
        <v>- - -</v>
      </c>
      <c r="DC18" s="743" t="str">
        <f t="shared" si="36"/>
        <v>. .</v>
      </c>
      <c r="DD18" s="743"/>
      <c r="DE18" s="268">
        <f t="shared" si="37"/>
        <v>660</v>
      </c>
      <c r="DF18" s="268">
        <f t="shared" si="38"/>
        <v>-23723</v>
      </c>
      <c r="DG18" s="268">
        <f t="shared" si="39"/>
        <v>-1977</v>
      </c>
      <c r="DH18" s="268" t="str">
        <f t="shared" si="40"/>
        <v>Nữ dưới 30</v>
      </c>
      <c r="DI18" s="268"/>
      <c r="DJ18" s="268"/>
      <c r="DK18" s="474" t="str">
        <f t="shared" si="41"/>
        <v>Đến 30</v>
      </c>
      <c r="DL18" s="735" t="str">
        <f t="shared" si="42"/>
        <v>TD</v>
      </c>
      <c r="DM18" s="744">
        <v>2008</v>
      </c>
      <c r="DN18" s="98"/>
      <c r="DO18" s="745"/>
      <c r="DP18" s="744"/>
      <c r="DQ18" s="737"/>
      <c r="DR18" s="746"/>
      <c r="DS18" s="279"/>
      <c r="DT18" s="270"/>
      <c r="DU18" s="51"/>
      <c r="DV18" s="447"/>
      <c r="DW18" s="467" t="s">
        <v>248</v>
      </c>
      <c r="DX18" s="469"/>
      <c r="DY18" s="469" t="s">
        <v>43</v>
      </c>
      <c r="DZ18" s="469" t="s">
        <v>53</v>
      </c>
      <c r="EA18" s="747" t="s">
        <v>46</v>
      </c>
      <c r="EB18" s="469" t="s">
        <v>53</v>
      </c>
      <c r="EC18" s="748">
        <v>2013</v>
      </c>
      <c r="ED18" s="467">
        <f t="shared" si="43"/>
        <v>0</v>
      </c>
      <c r="EE18" s="469" t="str">
        <f t="shared" si="44"/>
        <v>- - -</v>
      </c>
      <c r="EF18" s="469" t="s">
        <v>43</v>
      </c>
      <c r="EG18" s="469" t="s">
        <v>53</v>
      </c>
      <c r="EH18" s="747" t="s">
        <v>46</v>
      </c>
      <c r="EI18" s="98" t="s">
        <v>53</v>
      </c>
      <c r="EJ18" s="269">
        <v>2013</v>
      </c>
      <c r="EK18" s="271"/>
      <c r="EL18" s="51" t="str">
        <f t="shared" si="45"/>
        <v>- - -</v>
      </c>
      <c r="EM18" s="749" t="str">
        <f t="shared" si="46"/>
        <v>---</v>
      </c>
      <c r="EN18" s="749"/>
      <c r="EO18" s="749"/>
      <c r="EP18" s="749"/>
      <c r="EQ18" s="749"/>
      <c r="ER18" s="749"/>
      <c r="ES18" s="749"/>
      <c r="ET18" s="749"/>
      <c r="EU18" s="749"/>
      <c r="EV18" s="749"/>
      <c r="EW18" s="749"/>
      <c r="EX18" s="749"/>
      <c r="EY18" s="749"/>
      <c r="EZ18" s="749"/>
      <c r="FA18" s="749"/>
      <c r="FB18" s="749"/>
      <c r="FC18" s="749"/>
      <c r="FD18" s="749"/>
      <c r="FE18" s="749"/>
      <c r="FF18" s="749"/>
      <c r="FG18" s="749"/>
      <c r="FH18" s="749"/>
      <c r="FI18" s="749"/>
      <c r="FJ18" s="749"/>
      <c r="FK18" s="750"/>
      <c r="FL18" s="750"/>
      <c r="FM18" s="750"/>
      <c r="FN18" s="750"/>
      <c r="FO18" s="750"/>
      <c r="FP18" s="867"/>
      <c r="FQ18" s="867"/>
      <c r="FR18" s="867"/>
      <c r="FS18" s="867"/>
      <c r="FT18" s="867"/>
      <c r="FU18" s="867"/>
      <c r="FV18" s="867"/>
      <c r="FW18" s="867"/>
      <c r="FX18" s="867"/>
      <c r="FY18" s="867"/>
      <c r="FZ18" s="867"/>
      <c r="GA18" s="867"/>
      <c r="GB18" s="867"/>
      <c r="GC18" s="867"/>
      <c r="GD18" s="867"/>
      <c r="GE18" s="867"/>
      <c r="GF18" s="867"/>
      <c r="GG18" s="867"/>
      <c r="GH18" s="867"/>
      <c r="GI18" s="867"/>
      <c r="GJ18" s="867"/>
      <c r="GK18" s="867"/>
      <c r="GL18" s="867"/>
      <c r="GM18" s="867"/>
      <c r="GN18" s="867"/>
      <c r="GO18" s="867"/>
      <c r="GP18" s="867"/>
      <c r="GQ18" s="867"/>
      <c r="GR18" s="867"/>
      <c r="GS18" s="867"/>
      <c r="GT18" s="867"/>
      <c r="GU18" s="867"/>
      <c r="GV18" s="867"/>
      <c r="GW18" s="867"/>
      <c r="GX18" s="867"/>
      <c r="GY18" s="867"/>
      <c r="GZ18" s="867"/>
      <c r="HA18" s="867"/>
      <c r="HB18" s="867"/>
      <c r="HC18" s="867"/>
      <c r="HD18" s="867"/>
      <c r="HE18" s="867"/>
      <c r="HF18" s="867"/>
      <c r="HG18" s="867"/>
      <c r="HH18" s="867"/>
      <c r="HI18" s="867"/>
      <c r="HJ18" s="867"/>
      <c r="HK18" s="867"/>
      <c r="HL18" s="867"/>
      <c r="HM18" s="867"/>
      <c r="HN18" s="867"/>
      <c r="HO18" s="867"/>
      <c r="HP18" s="867"/>
    </row>
    <row r="19" spans="1:224" s="488" customFormat="1" ht="28.5" customHeight="1" x14ac:dyDescent="0.2">
      <c r="A19" s="98">
        <v>146</v>
      </c>
      <c r="B19" s="864">
        <v>3</v>
      </c>
      <c r="C19" s="98"/>
      <c r="D19" s="98" t="str">
        <f t="shared" si="0"/>
        <v>Ông</v>
      </c>
      <c r="E19" s="162" t="s">
        <v>250</v>
      </c>
      <c r="F19" s="98" t="s">
        <v>63</v>
      </c>
      <c r="G19" s="437" t="s">
        <v>180</v>
      </c>
      <c r="H19" s="438" t="s">
        <v>53</v>
      </c>
      <c r="I19" s="439">
        <v>5</v>
      </c>
      <c r="J19" s="438" t="s">
        <v>53</v>
      </c>
      <c r="K19" s="440">
        <v>1978</v>
      </c>
      <c r="L19" s="441" t="s">
        <v>83</v>
      </c>
      <c r="M19" s="442" t="str">
        <f t="shared" si="1"/>
        <v>VC</v>
      </c>
      <c r="N19" s="443"/>
      <c r="O19" s="444" t="e">
        <f t="shared" si="2"/>
        <v>#N/A</v>
      </c>
      <c r="P19" s="445"/>
      <c r="Q19" s="446" t="e">
        <f>VLOOKUP(P19,'[2]- DLiêu Gốc -'!$C$2:$H$114,2,0)</f>
        <v>#N/A</v>
      </c>
      <c r="R19" s="584" t="s">
        <v>31</v>
      </c>
      <c r="S19" s="448" t="s">
        <v>139</v>
      </c>
      <c r="T19" s="449" t="str">
        <f>VLOOKUP(Y19,'[2]- DLiêu Gốc -'!$C$2:$H$60,5,0)</f>
        <v>A1</v>
      </c>
      <c r="U19" s="450" t="str">
        <f>VLOOKUP(Y19,'[2]- DLiêu Gốc -'!$C$2:$H$60,6,0)</f>
        <v>- - -</v>
      </c>
      <c r="V19" s="727" t="s">
        <v>73</v>
      </c>
      <c r="W19" s="728" t="str">
        <f t="shared" si="3"/>
        <v>Giảng viên (hạng III)</v>
      </c>
      <c r="X19" s="729" t="str">
        <f t="shared" si="4"/>
        <v>V.07.01.03</v>
      </c>
      <c r="Y19" s="451" t="s">
        <v>77</v>
      </c>
      <c r="Z19" s="451" t="str">
        <f>VLOOKUP(Y19,'[2]- DLiêu Gốc -'!$C$1:$H$132,2,0)</f>
        <v>V.07.01.03</v>
      </c>
      <c r="AA19" s="268" t="str">
        <f t="shared" si="5"/>
        <v>Lương</v>
      </c>
      <c r="AB19" s="452">
        <v>5</v>
      </c>
      <c r="AC19" s="453" t="str">
        <f t="shared" si="6"/>
        <v>/</v>
      </c>
      <c r="AD19" s="454">
        <f t="shared" si="7"/>
        <v>9</v>
      </c>
      <c r="AE19" s="455">
        <f t="shared" si="8"/>
        <v>3.66</v>
      </c>
      <c r="AF19" s="456"/>
      <c r="AG19" s="456"/>
      <c r="AH19" s="457"/>
      <c r="AI19" s="458"/>
      <c r="AJ19" s="459"/>
      <c r="AK19" s="458"/>
      <c r="AL19" s="460"/>
      <c r="AM19" s="461"/>
      <c r="AN19" s="462"/>
      <c r="AO19" s="463">
        <f t="shared" si="9"/>
        <v>6</v>
      </c>
      <c r="AP19" s="464" t="str">
        <f t="shared" si="10"/>
        <v>/</v>
      </c>
      <c r="AQ19" s="465">
        <f t="shared" si="11"/>
        <v>9</v>
      </c>
      <c r="AR19" s="265">
        <f t="shared" si="12"/>
        <v>3.99</v>
      </c>
      <c r="AS19" s="466"/>
      <c r="AT19" s="467" t="s">
        <v>43</v>
      </c>
      <c r="AU19" s="468" t="s">
        <v>53</v>
      </c>
      <c r="AV19" s="469">
        <v>3</v>
      </c>
      <c r="AW19" s="468" t="s">
        <v>53</v>
      </c>
      <c r="AX19" s="470">
        <v>2017</v>
      </c>
      <c r="AY19" s="471"/>
      <c r="AZ19" s="472"/>
      <c r="BA19" s="266">
        <f t="shared" si="13"/>
        <v>3</v>
      </c>
      <c r="BB19" s="473">
        <f t="shared" si="14"/>
        <v>-24207</v>
      </c>
      <c r="BC19" s="267">
        <f>VLOOKUP(Y19,'[2]- DLiêu Gốc -'!$C$1:$F$60,3,0)</f>
        <v>2.34</v>
      </c>
      <c r="BD19" s="267">
        <f>VLOOKUP(Y19,'[2]- DLiêu Gốc -'!$C$1:$F$60,4,0)</f>
        <v>0.33</v>
      </c>
      <c r="BE19" s="474" t="str">
        <f t="shared" si="15"/>
        <v>PCTN</v>
      </c>
      <c r="BF19" s="475">
        <v>14</v>
      </c>
      <c r="BG19" s="476" t="s">
        <v>41</v>
      </c>
      <c r="BH19" s="477" t="s">
        <v>43</v>
      </c>
      <c r="BI19" s="478" t="s">
        <v>53</v>
      </c>
      <c r="BJ19" s="730">
        <v>5</v>
      </c>
      <c r="BK19" s="479" t="s">
        <v>53</v>
      </c>
      <c r="BL19" s="480">
        <v>2017</v>
      </c>
      <c r="BM19" s="481"/>
      <c r="BN19" s="482"/>
      <c r="BO19" s="483">
        <f t="shared" si="16"/>
        <v>15</v>
      </c>
      <c r="BP19" s="484" t="s">
        <v>41</v>
      </c>
      <c r="BQ19" s="485" t="s">
        <v>43</v>
      </c>
      <c r="BR19" s="468" t="s">
        <v>53</v>
      </c>
      <c r="BS19" s="486">
        <v>5</v>
      </c>
      <c r="BT19" s="487" t="s">
        <v>53</v>
      </c>
      <c r="BU19" s="51">
        <v>2018</v>
      </c>
      <c r="BV19" s="731"/>
      <c r="BW19" s="865">
        <v>5</v>
      </c>
      <c r="BX19" s="840">
        <f t="shared" si="17"/>
        <v>-24221</v>
      </c>
      <c r="BY19" s="474" t="str">
        <f t="shared" si="18"/>
        <v>- - -</v>
      </c>
      <c r="BZ19" s="732" t="str">
        <f t="shared" si="19"/>
        <v>Chánh Văn phòng Học viện, Trưởng Ban Tổ chức - Cán bộ, Trưởng Khoa Khoa học hành chính và Tổ chức nhân sự</v>
      </c>
      <c r="CA19" s="3" t="str">
        <f t="shared" si="20"/>
        <v>A</v>
      </c>
      <c r="CB19" s="733" t="str">
        <f t="shared" si="21"/>
        <v>=&gt; s</v>
      </c>
      <c r="CC19" s="268">
        <f t="shared" si="22"/>
        <v>24231</v>
      </c>
      <c r="CD19" s="98" t="str">
        <f t="shared" si="23"/>
        <v>S</v>
      </c>
      <c r="CE19" s="98">
        <v>2013</v>
      </c>
      <c r="CF19" s="866" t="s">
        <v>75</v>
      </c>
      <c r="CG19" s="98"/>
      <c r="CH19" s="734"/>
      <c r="CI19" s="98" t="str">
        <f t="shared" si="24"/>
        <v>Cùg Ng</v>
      </c>
      <c r="CJ19" s="269" t="str">
        <f t="shared" si="25"/>
        <v>- - -</v>
      </c>
      <c r="CK19" s="735"/>
      <c r="CL19" s="736"/>
      <c r="CM19" s="735"/>
      <c r="CN19" s="737"/>
      <c r="CO19" s="269" t="str">
        <f t="shared" si="26"/>
        <v>- - -</v>
      </c>
      <c r="CP19" s="735"/>
      <c r="CQ19" s="736"/>
      <c r="CR19" s="735"/>
      <c r="CS19" s="737"/>
      <c r="CT19" s="738" t="str">
        <f t="shared" si="27"/>
        <v>---</v>
      </c>
      <c r="CU19" s="739" t="str">
        <f t="shared" si="28"/>
        <v>/-/ /-/</v>
      </c>
      <c r="CV19" s="740">
        <f t="shared" si="29"/>
        <v>6</v>
      </c>
      <c r="CW19" s="741">
        <f t="shared" si="30"/>
        <v>2038</v>
      </c>
      <c r="CX19" s="740">
        <f t="shared" si="31"/>
        <v>3</v>
      </c>
      <c r="CY19" s="741">
        <f t="shared" si="32"/>
        <v>2038</v>
      </c>
      <c r="CZ19" s="740">
        <f t="shared" si="33"/>
        <v>12</v>
      </c>
      <c r="DA19" s="741">
        <f t="shared" si="34"/>
        <v>2037</v>
      </c>
      <c r="DB19" s="742" t="str">
        <f t="shared" si="35"/>
        <v>- - -</v>
      </c>
      <c r="DC19" s="743" t="str">
        <f t="shared" si="36"/>
        <v>. .</v>
      </c>
      <c r="DD19" s="743"/>
      <c r="DE19" s="268">
        <f t="shared" si="37"/>
        <v>720</v>
      </c>
      <c r="DF19" s="268">
        <f t="shared" si="38"/>
        <v>-23729</v>
      </c>
      <c r="DG19" s="268">
        <f t="shared" si="39"/>
        <v>-1978</v>
      </c>
      <c r="DH19" s="268" t="str">
        <f t="shared" si="40"/>
        <v>Nam dưới 35</v>
      </c>
      <c r="DI19" s="268"/>
      <c r="DJ19" s="268"/>
      <c r="DK19" s="474" t="str">
        <f t="shared" si="41"/>
        <v>Đến 30</v>
      </c>
      <c r="DL19" s="735" t="str">
        <f t="shared" si="42"/>
        <v>--</v>
      </c>
      <c r="DM19" s="744"/>
      <c r="DN19" s="98"/>
      <c r="DO19" s="745"/>
      <c r="DP19" s="744"/>
      <c r="DQ19" s="737"/>
      <c r="DR19" s="746"/>
      <c r="DS19" s="279"/>
      <c r="DT19" s="270"/>
      <c r="DU19" s="51"/>
      <c r="DV19" s="447" t="s">
        <v>31</v>
      </c>
      <c r="DW19" s="467" t="s">
        <v>251</v>
      </c>
      <c r="DX19" s="469" t="s">
        <v>31</v>
      </c>
      <c r="DY19" s="469" t="s">
        <v>43</v>
      </c>
      <c r="DZ19" s="469" t="s">
        <v>53</v>
      </c>
      <c r="EA19" s="747">
        <v>3</v>
      </c>
      <c r="EB19" s="469" t="s">
        <v>53</v>
      </c>
      <c r="EC19" s="748">
        <v>2014</v>
      </c>
      <c r="ED19" s="467">
        <f t="shared" si="43"/>
        <v>0</v>
      </c>
      <c r="EE19" s="469" t="str">
        <f t="shared" si="44"/>
        <v>- - -</v>
      </c>
      <c r="EF19" s="469" t="s">
        <v>43</v>
      </c>
      <c r="EG19" s="469" t="s">
        <v>53</v>
      </c>
      <c r="EH19" s="747">
        <v>3</v>
      </c>
      <c r="EI19" s="98" t="s">
        <v>53</v>
      </c>
      <c r="EJ19" s="269">
        <v>2014</v>
      </c>
      <c r="EK19" s="271"/>
      <c r="EL19" s="51" t="str">
        <f t="shared" si="45"/>
        <v>- - -</v>
      </c>
      <c r="EM19" s="749" t="str">
        <f t="shared" si="46"/>
        <v>---</v>
      </c>
      <c r="EN19" s="749"/>
      <c r="EO19" s="749"/>
      <c r="EP19" s="749"/>
      <c r="EQ19" s="749"/>
      <c r="ER19" s="749"/>
      <c r="ES19" s="749"/>
      <c r="ET19" s="749"/>
      <c r="EU19" s="749"/>
      <c r="EV19" s="749"/>
      <c r="EW19" s="749"/>
      <c r="EX19" s="749"/>
      <c r="EY19" s="749"/>
      <c r="EZ19" s="749"/>
      <c r="FA19" s="749"/>
      <c r="FB19" s="749"/>
      <c r="FC19" s="749"/>
      <c r="FD19" s="749"/>
      <c r="FE19" s="749"/>
      <c r="FF19" s="749"/>
      <c r="FG19" s="749"/>
      <c r="FH19" s="749"/>
      <c r="FI19" s="749"/>
      <c r="FJ19" s="749"/>
      <c r="FK19" s="750"/>
      <c r="FL19" s="750"/>
      <c r="FM19" s="750"/>
      <c r="FN19" s="750"/>
      <c r="FO19" s="750"/>
      <c r="FP19" s="867"/>
      <c r="FQ19" s="867"/>
      <c r="FR19" s="867"/>
      <c r="FS19" s="867"/>
      <c r="FT19" s="867"/>
      <c r="FU19" s="867"/>
      <c r="FV19" s="867"/>
      <c r="FW19" s="867"/>
      <c r="FX19" s="867"/>
      <c r="FY19" s="867"/>
      <c r="FZ19" s="867"/>
      <c r="GA19" s="867"/>
      <c r="GB19" s="867"/>
      <c r="GC19" s="867"/>
      <c r="GD19" s="867"/>
      <c r="GE19" s="867"/>
      <c r="GF19" s="867"/>
      <c r="GG19" s="867"/>
      <c r="GH19" s="867"/>
      <c r="GI19" s="867"/>
      <c r="GJ19" s="867"/>
      <c r="GK19" s="867"/>
      <c r="GL19" s="867"/>
      <c r="GM19" s="867"/>
      <c r="GN19" s="867"/>
      <c r="GO19" s="867"/>
      <c r="GP19" s="867"/>
      <c r="GQ19" s="867"/>
      <c r="GR19" s="867"/>
      <c r="GS19" s="867"/>
      <c r="GT19" s="867"/>
      <c r="GU19" s="867"/>
      <c r="GV19" s="867"/>
      <c r="GW19" s="867"/>
      <c r="GX19" s="867"/>
      <c r="GY19" s="867"/>
      <c r="GZ19" s="867"/>
      <c r="HA19" s="867"/>
      <c r="HB19" s="867"/>
      <c r="HC19" s="867"/>
      <c r="HD19" s="867"/>
      <c r="HE19" s="867"/>
      <c r="HF19" s="867"/>
      <c r="HG19" s="867"/>
      <c r="HH19" s="867"/>
      <c r="HI19" s="867"/>
      <c r="HJ19" s="867"/>
      <c r="HK19" s="867"/>
      <c r="HL19" s="867"/>
      <c r="HM19" s="867"/>
      <c r="HN19" s="867"/>
      <c r="HO19" s="867"/>
      <c r="HP19" s="867"/>
    </row>
    <row r="20" spans="1:224" s="488" customFormat="1" ht="28.5" customHeight="1" x14ac:dyDescent="0.2">
      <c r="A20" s="98">
        <v>166</v>
      </c>
      <c r="B20" s="864">
        <v>4</v>
      </c>
      <c r="C20" s="98"/>
      <c r="D20" s="98" t="str">
        <f t="shared" si="0"/>
        <v>Ông</v>
      </c>
      <c r="E20" s="162" t="s">
        <v>182</v>
      </c>
      <c r="F20" s="98" t="s">
        <v>63</v>
      </c>
      <c r="G20" s="437" t="s">
        <v>57</v>
      </c>
      <c r="H20" s="438" t="s">
        <v>53</v>
      </c>
      <c r="I20" s="439">
        <v>5</v>
      </c>
      <c r="J20" s="438" t="s">
        <v>53</v>
      </c>
      <c r="K20" s="440">
        <v>1976</v>
      </c>
      <c r="L20" s="441" t="s">
        <v>83</v>
      </c>
      <c r="M20" s="442" t="str">
        <f t="shared" si="1"/>
        <v>VC</v>
      </c>
      <c r="N20" s="443"/>
      <c r="O20" s="444" t="str">
        <f t="shared" si="2"/>
        <v>CVụ</v>
      </c>
      <c r="P20" s="445" t="s">
        <v>160</v>
      </c>
      <c r="Q20" s="446">
        <f>VLOOKUP(P20,'[2]- DLiêu Gốc -'!$C$2:$H$114,2,0)</f>
        <v>0.6</v>
      </c>
      <c r="R20" s="584" t="s">
        <v>138</v>
      </c>
      <c r="S20" s="448" t="s">
        <v>139</v>
      </c>
      <c r="T20" s="449" t="str">
        <f>VLOOKUP(Y20,'[2]- DLiêu Gốc -'!$C$2:$H$60,5,0)</f>
        <v>A1</v>
      </c>
      <c r="U20" s="450" t="str">
        <f>VLOOKUP(Y20,'[2]- DLiêu Gốc -'!$C$2:$H$60,6,0)</f>
        <v>- - -</v>
      </c>
      <c r="V20" s="727" t="s">
        <v>73</v>
      </c>
      <c r="W20" s="728" t="str">
        <f t="shared" si="3"/>
        <v>Giảng viên (hạng III)</v>
      </c>
      <c r="X20" s="729" t="str">
        <f t="shared" si="4"/>
        <v>V.07.01.03</v>
      </c>
      <c r="Y20" s="451" t="s">
        <v>77</v>
      </c>
      <c r="Z20" s="451" t="str">
        <f>VLOOKUP(Y20,'[2]- DLiêu Gốc -'!$C$1:$H$132,2,0)</f>
        <v>V.07.01.03</v>
      </c>
      <c r="AA20" s="268" t="str">
        <f t="shared" si="5"/>
        <v>Lương</v>
      </c>
      <c r="AB20" s="452">
        <v>5</v>
      </c>
      <c r="AC20" s="453" t="str">
        <f t="shared" si="6"/>
        <v>/</v>
      </c>
      <c r="AD20" s="454">
        <f t="shared" si="7"/>
        <v>9</v>
      </c>
      <c r="AE20" s="455">
        <f t="shared" si="8"/>
        <v>3.66</v>
      </c>
      <c r="AF20" s="456"/>
      <c r="AG20" s="456"/>
      <c r="AH20" s="457" t="s">
        <v>43</v>
      </c>
      <c r="AI20" s="458" t="s">
        <v>53</v>
      </c>
      <c r="AJ20" s="459" t="s">
        <v>45</v>
      </c>
      <c r="AK20" s="458" t="s">
        <v>53</v>
      </c>
      <c r="AL20" s="460">
        <v>2015</v>
      </c>
      <c r="AM20" s="461"/>
      <c r="AN20" s="462"/>
      <c r="AO20" s="463">
        <f t="shared" si="9"/>
        <v>6</v>
      </c>
      <c r="AP20" s="464" t="str">
        <f t="shared" si="10"/>
        <v>/</v>
      </c>
      <c r="AQ20" s="465">
        <f t="shared" si="11"/>
        <v>9</v>
      </c>
      <c r="AR20" s="265">
        <f t="shared" si="12"/>
        <v>3.99</v>
      </c>
      <c r="AS20" s="466"/>
      <c r="AT20" s="467" t="s">
        <v>43</v>
      </c>
      <c r="AU20" s="468" t="s">
        <v>53</v>
      </c>
      <c r="AV20" s="469" t="s">
        <v>45</v>
      </c>
      <c r="AW20" s="468" t="s">
        <v>53</v>
      </c>
      <c r="AX20" s="470">
        <v>2018</v>
      </c>
      <c r="AY20" s="471"/>
      <c r="AZ20" s="472">
        <v>5</v>
      </c>
      <c r="BA20" s="266">
        <f t="shared" si="13"/>
        <v>3</v>
      </c>
      <c r="BB20" s="473">
        <f t="shared" si="14"/>
        <v>-24221</v>
      </c>
      <c r="BC20" s="267">
        <f>VLOOKUP(Y20,'[2]- DLiêu Gốc -'!$C$1:$F$60,3,0)</f>
        <v>2.34</v>
      </c>
      <c r="BD20" s="267">
        <f>VLOOKUP(Y20,'[2]- DLiêu Gốc -'!$C$1:$F$60,4,0)</f>
        <v>0.33</v>
      </c>
      <c r="BE20" s="474" t="str">
        <f t="shared" si="15"/>
        <v>PCTN</v>
      </c>
      <c r="BF20" s="475">
        <v>13</v>
      </c>
      <c r="BG20" s="476" t="s">
        <v>41</v>
      </c>
      <c r="BH20" s="477" t="s">
        <v>43</v>
      </c>
      <c r="BI20" s="478" t="s">
        <v>53</v>
      </c>
      <c r="BJ20" s="730">
        <v>5</v>
      </c>
      <c r="BK20" s="479" t="s">
        <v>53</v>
      </c>
      <c r="BL20" s="480">
        <v>2017</v>
      </c>
      <c r="BM20" s="481"/>
      <c r="BN20" s="482"/>
      <c r="BO20" s="483">
        <f t="shared" si="16"/>
        <v>14</v>
      </c>
      <c r="BP20" s="484" t="s">
        <v>41</v>
      </c>
      <c r="BQ20" s="485" t="s">
        <v>43</v>
      </c>
      <c r="BR20" s="468" t="s">
        <v>53</v>
      </c>
      <c r="BS20" s="486">
        <v>5</v>
      </c>
      <c r="BT20" s="487" t="s">
        <v>53</v>
      </c>
      <c r="BU20" s="51">
        <v>2018</v>
      </c>
      <c r="BV20" s="731"/>
      <c r="BW20" s="865">
        <v>5</v>
      </c>
      <c r="BX20" s="840">
        <f t="shared" si="17"/>
        <v>-24221</v>
      </c>
      <c r="BY20" s="474" t="str">
        <f t="shared" si="18"/>
        <v>- - -</v>
      </c>
      <c r="BZ20" s="732" t="str">
        <f t="shared" si="19"/>
        <v>Chánh Văn phòng Học viện, Trưởng Ban Tổ chức - Cán bộ, Trưởng Khoa Khoa học hành chính và Tổ chức nhân sự</v>
      </c>
      <c r="CA20" s="3" t="str">
        <f t="shared" si="20"/>
        <v>A</v>
      </c>
      <c r="CB20" s="733" t="str">
        <f t="shared" si="21"/>
        <v>=&gt; s</v>
      </c>
      <c r="CC20" s="268">
        <f t="shared" si="22"/>
        <v>24245</v>
      </c>
      <c r="CD20" s="98" t="str">
        <f t="shared" si="23"/>
        <v>---</v>
      </c>
      <c r="CE20" s="98"/>
      <c r="CF20" s="866"/>
      <c r="CG20" s="98"/>
      <c r="CH20" s="734"/>
      <c r="CI20" s="98" t="str">
        <f t="shared" si="24"/>
        <v>- - -</v>
      </c>
      <c r="CJ20" s="269" t="str">
        <f t="shared" si="25"/>
        <v>- - -</v>
      </c>
      <c r="CK20" s="735"/>
      <c r="CL20" s="736"/>
      <c r="CM20" s="735"/>
      <c r="CN20" s="737"/>
      <c r="CO20" s="269" t="str">
        <f t="shared" si="26"/>
        <v>- - -</v>
      </c>
      <c r="CP20" s="735"/>
      <c r="CQ20" s="736"/>
      <c r="CR20" s="735"/>
      <c r="CS20" s="737"/>
      <c r="CT20" s="738" t="str">
        <f t="shared" si="27"/>
        <v>---</v>
      </c>
      <c r="CU20" s="739" t="str">
        <f t="shared" si="28"/>
        <v>/-/ /-/</v>
      </c>
      <c r="CV20" s="740">
        <f t="shared" si="29"/>
        <v>6</v>
      </c>
      <c r="CW20" s="741">
        <f t="shared" si="30"/>
        <v>2036</v>
      </c>
      <c r="CX20" s="740">
        <f t="shared" si="31"/>
        <v>3</v>
      </c>
      <c r="CY20" s="741">
        <f t="shared" si="32"/>
        <v>2036</v>
      </c>
      <c r="CZ20" s="740">
        <f t="shared" si="33"/>
        <v>12</v>
      </c>
      <c r="DA20" s="741">
        <f t="shared" si="34"/>
        <v>2035</v>
      </c>
      <c r="DB20" s="742" t="str">
        <f t="shared" si="35"/>
        <v>- - -</v>
      </c>
      <c r="DC20" s="743" t="str">
        <f t="shared" si="36"/>
        <v>. .</v>
      </c>
      <c r="DD20" s="743"/>
      <c r="DE20" s="268">
        <f t="shared" si="37"/>
        <v>720</v>
      </c>
      <c r="DF20" s="268">
        <f t="shared" si="38"/>
        <v>-23705</v>
      </c>
      <c r="DG20" s="268">
        <f t="shared" si="39"/>
        <v>-1976</v>
      </c>
      <c r="DH20" s="268" t="str">
        <f t="shared" si="40"/>
        <v>Nam dưới 35</v>
      </c>
      <c r="DI20" s="268"/>
      <c r="DJ20" s="268"/>
      <c r="DK20" s="474" t="str">
        <f t="shared" si="41"/>
        <v>Đến 30</v>
      </c>
      <c r="DL20" s="735" t="str">
        <f t="shared" si="42"/>
        <v>TD</v>
      </c>
      <c r="DM20" s="744">
        <v>2009</v>
      </c>
      <c r="DN20" s="98"/>
      <c r="DO20" s="745"/>
      <c r="DP20" s="744"/>
      <c r="DQ20" s="737"/>
      <c r="DR20" s="746"/>
      <c r="DS20" s="279"/>
      <c r="DT20" s="270"/>
      <c r="DU20" s="51"/>
      <c r="DV20" s="447" t="s">
        <v>138</v>
      </c>
      <c r="DW20" s="467" t="s">
        <v>183</v>
      </c>
      <c r="DX20" s="469" t="s">
        <v>140</v>
      </c>
      <c r="DY20" s="469" t="s">
        <v>43</v>
      </c>
      <c r="DZ20" s="469" t="s">
        <v>53</v>
      </c>
      <c r="EA20" s="747" t="s">
        <v>45</v>
      </c>
      <c r="EB20" s="469" t="s">
        <v>53</v>
      </c>
      <c r="EC20" s="748">
        <v>2012</v>
      </c>
      <c r="ED20" s="467">
        <f t="shared" si="43"/>
        <v>0</v>
      </c>
      <c r="EE20" s="469" t="str">
        <f t="shared" si="44"/>
        <v>- - -</v>
      </c>
      <c r="EF20" s="469" t="s">
        <v>43</v>
      </c>
      <c r="EG20" s="469" t="s">
        <v>53</v>
      </c>
      <c r="EH20" s="747" t="s">
        <v>45</v>
      </c>
      <c r="EI20" s="98" t="s">
        <v>53</v>
      </c>
      <c r="EJ20" s="269">
        <v>2012</v>
      </c>
      <c r="EK20" s="271"/>
      <c r="EL20" s="51" t="str">
        <f t="shared" si="45"/>
        <v>- - -</v>
      </c>
      <c r="EM20" s="749" t="str">
        <f t="shared" si="46"/>
        <v>---</v>
      </c>
      <c r="EN20" s="749"/>
      <c r="EO20" s="749"/>
      <c r="EP20" s="749"/>
      <c r="EQ20" s="749"/>
      <c r="ER20" s="749"/>
      <c r="ES20" s="749"/>
      <c r="ET20" s="749"/>
      <c r="EU20" s="749"/>
      <c r="EV20" s="749"/>
      <c r="EW20" s="749"/>
      <c r="EX20" s="749"/>
      <c r="EY20" s="749"/>
      <c r="EZ20" s="749"/>
      <c r="FA20" s="749"/>
      <c r="FB20" s="749"/>
      <c r="FC20" s="749"/>
      <c r="FD20" s="749"/>
      <c r="FE20" s="749"/>
      <c r="FF20" s="749"/>
      <c r="FG20" s="749"/>
      <c r="FH20" s="749"/>
      <c r="FI20" s="749"/>
      <c r="FJ20" s="749"/>
      <c r="FK20" s="750"/>
      <c r="FL20" s="750"/>
      <c r="FM20" s="750"/>
      <c r="FN20" s="750"/>
      <c r="FO20" s="750"/>
      <c r="FP20" s="867"/>
      <c r="FQ20" s="867"/>
      <c r="FR20" s="867"/>
      <c r="FS20" s="867"/>
      <c r="FT20" s="867"/>
      <c r="FU20" s="867"/>
      <c r="FV20" s="867"/>
      <c r="FW20" s="867"/>
      <c r="FX20" s="867"/>
      <c r="FY20" s="867"/>
      <c r="FZ20" s="867"/>
      <c r="GA20" s="867"/>
      <c r="GB20" s="867"/>
      <c r="GC20" s="867"/>
      <c r="GD20" s="867"/>
      <c r="GE20" s="867"/>
      <c r="GF20" s="867"/>
      <c r="GG20" s="867"/>
      <c r="GH20" s="867"/>
      <c r="GI20" s="867"/>
      <c r="GJ20" s="867"/>
      <c r="GK20" s="867"/>
      <c r="GL20" s="867"/>
      <c r="GM20" s="867"/>
      <c r="GN20" s="867"/>
      <c r="GO20" s="867"/>
      <c r="GP20" s="867"/>
      <c r="GQ20" s="867"/>
      <c r="GR20" s="867"/>
      <c r="GS20" s="867"/>
      <c r="GT20" s="867"/>
      <c r="GU20" s="867"/>
      <c r="GV20" s="867"/>
      <c r="GW20" s="867"/>
      <c r="GX20" s="867"/>
      <c r="GY20" s="867"/>
      <c r="GZ20" s="867"/>
      <c r="HA20" s="867"/>
      <c r="HB20" s="867"/>
      <c r="HC20" s="867"/>
      <c r="HD20" s="867"/>
      <c r="HE20" s="867"/>
      <c r="HF20" s="867"/>
      <c r="HG20" s="867"/>
      <c r="HH20" s="867"/>
      <c r="HI20" s="867"/>
      <c r="HJ20" s="867"/>
      <c r="HK20" s="867"/>
      <c r="HL20" s="867"/>
      <c r="HM20" s="867"/>
      <c r="HN20" s="867"/>
      <c r="HO20" s="867"/>
      <c r="HP20" s="867"/>
    </row>
    <row r="21" spans="1:224" s="488" customFormat="1" ht="28.5" customHeight="1" x14ac:dyDescent="0.2">
      <c r="A21" s="98">
        <v>167</v>
      </c>
      <c r="B21" s="864">
        <v>5</v>
      </c>
      <c r="C21" s="98"/>
      <c r="D21" s="98" t="str">
        <f t="shared" si="0"/>
        <v>Bà</v>
      </c>
      <c r="E21" s="162" t="s">
        <v>137</v>
      </c>
      <c r="F21" s="98" t="s">
        <v>64</v>
      </c>
      <c r="G21" s="437" t="s">
        <v>32</v>
      </c>
      <c r="H21" s="438" t="s">
        <v>53</v>
      </c>
      <c r="I21" s="439" t="s">
        <v>57</v>
      </c>
      <c r="J21" s="438" t="s">
        <v>53</v>
      </c>
      <c r="K21" s="440" t="s">
        <v>135</v>
      </c>
      <c r="L21" s="441" t="s">
        <v>83</v>
      </c>
      <c r="M21" s="442" t="str">
        <f t="shared" si="1"/>
        <v>VC</v>
      </c>
      <c r="N21" s="443"/>
      <c r="O21" s="444" t="e">
        <f t="shared" si="2"/>
        <v>#N/A</v>
      </c>
      <c r="P21" s="445"/>
      <c r="Q21" s="446" t="e">
        <f>VLOOKUP(P21,'[2]- DLiêu Gốc -'!$C$2:$H$114,2,0)</f>
        <v>#N/A</v>
      </c>
      <c r="R21" s="584" t="s">
        <v>138</v>
      </c>
      <c r="S21" s="448" t="s">
        <v>139</v>
      </c>
      <c r="T21" s="449" t="str">
        <f>VLOOKUP(Y21,'[2]- DLiêu Gốc -'!$C$2:$H$60,5,0)</f>
        <v>A1</v>
      </c>
      <c r="U21" s="450" t="str">
        <f>VLOOKUP(Y21,'[2]- DLiêu Gốc -'!$C$2:$H$60,6,0)</f>
        <v>- - -</v>
      </c>
      <c r="V21" s="727" t="s">
        <v>73</v>
      </c>
      <c r="W21" s="728" t="str">
        <f t="shared" si="3"/>
        <v>Giảng viên (hạng III)</v>
      </c>
      <c r="X21" s="729" t="str">
        <f t="shared" si="4"/>
        <v>V.07.01.03</v>
      </c>
      <c r="Y21" s="451" t="s">
        <v>77</v>
      </c>
      <c r="Z21" s="451" t="str">
        <f>VLOOKUP(Y21,'[2]- DLiêu Gốc -'!$C$1:$H$132,2,0)</f>
        <v>V.07.01.03</v>
      </c>
      <c r="AA21" s="268" t="str">
        <f t="shared" si="5"/>
        <v>Lương</v>
      </c>
      <c r="AB21" s="452">
        <v>4</v>
      </c>
      <c r="AC21" s="453" t="str">
        <f t="shared" si="6"/>
        <v>/</v>
      </c>
      <c r="AD21" s="454">
        <f t="shared" si="7"/>
        <v>9</v>
      </c>
      <c r="AE21" s="455">
        <f t="shared" si="8"/>
        <v>3.33</v>
      </c>
      <c r="AF21" s="456"/>
      <c r="AG21" s="456"/>
      <c r="AH21" s="457" t="s">
        <v>43</v>
      </c>
      <c r="AI21" s="458" t="s">
        <v>53</v>
      </c>
      <c r="AJ21" s="459" t="s">
        <v>61</v>
      </c>
      <c r="AK21" s="458" t="s">
        <v>53</v>
      </c>
      <c r="AL21" s="460">
        <v>2015</v>
      </c>
      <c r="AM21" s="461"/>
      <c r="AN21" s="462"/>
      <c r="AO21" s="463">
        <f t="shared" si="9"/>
        <v>5</v>
      </c>
      <c r="AP21" s="464" t="str">
        <f t="shared" si="10"/>
        <v>/</v>
      </c>
      <c r="AQ21" s="465">
        <f t="shared" si="11"/>
        <v>9</v>
      </c>
      <c r="AR21" s="265">
        <f t="shared" si="12"/>
        <v>3.66</v>
      </c>
      <c r="AS21" s="466"/>
      <c r="AT21" s="467" t="s">
        <v>43</v>
      </c>
      <c r="AU21" s="468" t="s">
        <v>53</v>
      </c>
      <c r="AV21" s="469" t="s">
        <v>61</v>
      </c>
      <c r="AW21" s="468" t="s">
        <v>53</v>
      </c>
      <c r="AX21" s="470">
        <v>2018</v>
      </c>
      <c r="AY21" s="471"/>
      <c r="AZ21" s="472">
        <v>4</v>
      </c>
      <c r="BA21" s="266">
        <f t="shared" si="13"/>
        <v>3</v>
      </c>
      <c r="BB21" s="473">
        <f t="shared" si="14"/>
        <v>-24220</v>
      </c>
      <c r="BC21" s="267">
        <f>VLOOKUP(Y21,'[2]- DLiêu Gốc -'!$C$1:$F$60,3,0)</f>
        <v>2.34</v>
      </c>
      <c r="BD21" s="267">
        <f>VLOOKUP(Y21,'[2]- DLiêu Gốc -'!$C$1:$F$60,4,0)</f>
        <v>0.33</v>
      </c>
      <c r="BE21" s="474" t="str">
        <f t="shared" si="15"/>
        <v>PCTN</v>
      </c>
      <c r="BF21" s="475">
        <v>11</v>
      </c>
      <c r="BG21" s="476" t="s">
        <v>41</v>
      </c>
      <c r="BH21" s="477" t="s">
        <v>43</v>
      </c>
      <c r="BI21" s="478" t="s">
        <v>53</v>
      </c>
      <c r="BJ21" s="730">
        <v>5</v>
      </c>
      <c r="BK21" s="479" t="s">
        <v>53</v>
      </c>
      <c r="BL21" s="480">
        <v>2017</v>
      </c>
      <c r="BM21" s="481"/>
      <c r="BN21" s="482"/>
      <c r="BO21" s="483">
        <f t="shared" si="16"/>
        <v>12</v>
      </c>
      <c r="BP21" s="484" t="s">
        <v>41</v>
      </c>
      <c r="BQ21" s="485" t="s">
        <v>43</v>
      </c>
      <c r="BR21" s="468" t="s">
        <v>53</v>
      </c>
      <c r="BS21" s="486">
        <v>5</v>
      </c>
      <c r="BT21" s="487" t="s">
        <v>53</v>
      </c>
      <c r="BU21" s="51">
        <v>2018</v>
      </c>
      <c r="BV21" s="731"/>
      <c r="BW21" s="865">
        <v>5</v>
      </c>
      <c r="BX21" s="840">
        <f t="shared" si="17"/>
        <v>-24221</v>
      </c>
      <c r="BY21" s="474" t="str">
        <f t="shared" si="18"/>
        <v>- - -</v>
      </c>
      <c r="BZ21" s="732" t="str">
        <f t="shared" si="19"/>
        <v>Chánh Văn phòng Học viện, Trưởng Ban Tổ chức - Cán bộ, Trưởng Khoa Khoa học hành chính và Tổ chức nhân sự</v>
      </c>
      <c r="CA21" s="3" t="str">
        <f t="shared" si="20"/>
        <v>A</v>
      </c>
      <c r="CB21" s="733" t="str">
        <f t="shared" si="21"/>
        <v>=&gt; s</v>
      </c>
      <c r="CC21" s="268">
        <f t="shared" si="22"/>
        <v>24244</v>
      </c>
      <c r="CD21" s="98" t="str">
        <f t="shared" si="23"/>
        <v>---</v>
      </c>
      <c r="CE21" s="98"/>
      <c r="CF21" s="866"/>
      <c r="CG21" s="98"/>
      <c r="CH21" s="734"/>
      <c r="CI21" s="98" t="str">
        <f t="shared" si="24"/>
        <v>- - -</v>
      </c>
      <c r="CJ21" s="269" t="str">
        <f t="shared" si="25"/>
        <v>- - -</v>
      </c>
      <c r="CK21" s="735"/>
      <c r="CL21" s="736"/>
      <c r="CM21" s="735"/>
      <c r="CN21" s="737"/>
      <c r="CO21" s="269" t="str">
        <f t="shared" si="26"/>
        <v>- - -</v>
      </c>
      <c r="CP21" s="735"/>
      <c r="CQ21" s="736"/>
      <c r="CR21" s="735"/>
      <c r="CS21" s="737"/>
      <c r="CT21" s="738" t="str">
        <f t="shared" si="27"/>
        <v>---</v>
      </c>
      <c r="CU21" s="739" t="str">
        <f t="shared" si="28"/>
        <v>/-/ /-/</v>
      </c>
      <c r="CV21" s="740">
        <f t="shared" si="29"/>
        <v>11</v>
      </c>
      <c r="CW21" s="741">
        <f t="shared" si="30"/>
        <v>2037</v>
      </c>
      <c r="CX21" s="740">
        <f t="shared" si="31"/>
        <v>8</v>
      </c>
      <c r="CY21" s="741">
        <f t="shared" si="32"/>
        <v>2037</v>
      </c>
      <c r="CZ21" s="740">
        <f t="shared" si="33"/>
        <v>5</v>
      </c>
      <c r="DA21" s="741">
        <f t="shared" si="34"/>
        <v>2037</v>
      </c>
      <c r="DB21" s="742" t="str">
        <f t="shared" si="35"/>
        <v>- - -</v>
      </c>
      <c r="DC21" s="743" t="str">
        <f t="shared" si="36"/>
        <v>. .</v>
      </c>
      <c r="DD21" s="743"/>
      <c r="DE21" s="268">
        <f t="shared" si="37"/>
        <v>660</v>
      </c>
      <c r="DF21" s="268">
        <f t="shared" si="38"/>
        <v>-23782</v>
      </c>
      <c r="DG21" s="268">
        <f t="shared" si="39"/>
        <v>-1982</v>
      </c>
      <c r="DH21" s="268" t="str">
        <f t="shared" si="40"/>
        <v>Nữ dưới 30</v>
      </c>
      <c r="DI21" s="268"/>
      <c r="DJ21" s="268"/>
      <c r="DK21" s="474" t="str">
        <f t="shared" si="41"/>
        <v>Đến 30</v>
      </c>
      <c r="DL21" s="735" t="str">
        <f t="shared" si="42"/>
        <v>--</v>
      </c>
      <c r="DM21" s="744"/>
      <c r="DN21" s="98"/>
      <c r="DO21" s="745"/>
      <c r="DP21" s="744"/>
      <c r="DQ21" s="737"/>
      <c r="DR21" s="746"/>
      <c r="DS21" s="279"/>
      <c r="DT21" s="270"/>
      <c r="DU21" s="51"/>
      <c r="DV21" s="447" t="s">
        <v>138</v>
      </c>
      <c r="DW21" s="467" t="s">
        <v>183</v>
      </c>
      <c r="DX21" s="469" t="s">
        <v>140</v>
      </c>
      <c r="DY21" s="469" t="s">
        <v>43</v>
      </c>
      <c r="DZ21" s="469" t="s">
        <v>53</v>
      </c>
      <c r="EA21" s="747" t="s">
        <v>61</v>
      </c>
      <c r="EB21" s="469" t="s">
        <v>53</v>
      </c>
      <c r="EC21" s="748">
        <v>2012</v>
      </c>
      <c r="ED21" s="467">
        <f t="shared" si="43"/>
        <v>0</v>
      </c>
      <c r="EE21" s="469" t="str">
        <f t="shared" si="44"/>
        <v>- - -</v>
      </c>
      <c r="EF21" s="469" t="s">
        <v>43</v>
      </c>
      <c r="EG21" s="469" t="s">
        <v>53</v>
      </c>
      <c r="EH21" s="747" t="s">
        <v>61</v>
      </c>
      <c r="EI21" s="98" t="s">
        <v>53</v>
      </c>
      <c r="EJ21" s="269">
        <v>2012</v>
      </c>
      <c r="EK21" s="271"/>
      <c r="EL21" s="51" t="str">
        <f t="shared" si="45"/>
        <v>- - -</v>
      </c>
      <c r="EM21" s="749" t="str">
        <f t="shared" si="46"/>
        <v>---</v>
      </c>
      <c r="EN21" s="749"/>
      <c r="EO21" s="749"/>
      <c r="EP21" s="749"/>
      <c r="EQ21" s="749"/>
      <c r="ER21" s="749"/>
      <c r="ES21" s="749"/>
      <c r="ET21" s="749"/>
      <c r="EU21" s="749"/>
      <c r="EV21" s="749"/>
      <c r="EW21" s="749"/>
      <c r="EX21" s="749"/>
      <c r="EY21" s="749"/>
      <c r="EZ21" s="749"/>
      <c r="FA21" s="749"/>
      <c r="FB21" s="749"/>
      <c r="FC21" s="749"/>
      <c r="FD21" s="749"/>
      <c r="FE21" s="749"/>
      <c r="FF21" s="749"/>
      <c r="FG21" s="749"/>
      <c r="FH21" s="749"/>
      <c r="FI21" s="749"/>
      <c r="FJ21" s="749"/>
      <c r="FK21" s="750"/>
      <c r="FL21" s="750"/>
      <c r="FM21" s="750"/>
      <c r="FN21" s="750"/>
      <c r="FO21" s="750"/>
      <c r="FP21" s="867"/>
      <c r="FQ21" s="867"/>
      <c r="FR21" s="867"/>
      <c r="FS21" s="867"/>
      <c r="FT21" s="867"/>
      <c r="FU21" s="867"/>
      <c r="FV21" s="867"/>
      <c r="FW21" s="867"/>
      <c r="FX21" s="867"/>
      <c r="FY21" s="867"/>
      <c r="FZ21" s="867"/>
      <c r="GA21" s="867"/>
      <c r="GB21" s="867"/>
      <c r="GC21" s="867"/>
      <c r="GD21" s="867"/>
      <c r="GE21" s="867"/>
      <c r="GF21" s="867"/>
      <c r="GG21" s="867"/>
      <c r="GH21" s="867"/>
      <c r="GI21" s="867"/>
      <c r="GJ21" s="867"/>
      <c r="GK21" s="867"/>
      <c r="GL21" s="867"/>
      <c r="GM21" s="867"/>
      <c r="GN21" s="867"/>
      <c r="GO21" s="867"/>
      <c r="GP21" s="867"/>
      <c r="GQ21" s="867"/>
      <c r="GR21" s="867"/>
      <c r="GS21" s="867"/>
      <c r="GT21" s="867"/>
      <c r="GU21" s="867"/>
      <c r="GV21" s="867"/>
      <c r="GW21" s="867"/>
      <c r="GX21" s="867"/>
      <c r="GY21" s="867"/>
      <c r="GZ21" s="867"/>
      <c r="HA21" s="867"/>
      <c r="HB21" s="867"/>
      <c r="HC21" s="867"/>
      <c r="HD21" s="867"/>
      <c r="HE21" s="867"/>
      <c r="HF21" s="867"/>
      <c r="HG21" s="867"/>
      <c r="HH21" s="867"/>
      <c r="HI21" s="867"/>
      <c r="HJ21" s="867"/>
      <c r="HK21" s="867"/>
      <c r="HL21" s="867"/>
      <c r="HM21" s="867"/>
      <c r="HN21" s="867"/>
      <c r="HO21" s="867"/>
      <c r="HP21" s="867"/>
    </row>
    <row r="22" spans="1:224" s="488" customFormat="1" ht="28.5" customHeight="1" x14ac:dyDescent="0.2">
      <c r="A22" s="98">
        <v>168</v>
      </c>
      <c r="B22" s="864">
        <v>6</v>
      </c>
      <c r="C22" s="98"/>
      <c r="D22" s="98" t="str">
        <f t="shared" si="0"/>
        <v>Bà</v>
      </c>
      <c r="E22" s="162" t="s">
        <v>252</v>
      </c>
      <c r="F22" s="98" t="s">
        <v>64</v>
      </c>
      <c r="G22" s="437" t="s">
        <v>44</v>
      </c>
      <c r="H22" s="438" t="s">
        <v>53</v>
      </c>
      <c r="I22" s="439">
        <v>7</v>
      </c>
      <c r="J22" s="438" t="s">
        <v>53</v>
      </c>
      <c r="K22" s="440">
        <v>1979</v>
      </c>
      <c r="L22" s="441" t="s">
        <v>83</v>
      </c>
      <c r="M22" s="442" t="str">
        <f t="shared" si="1"/>
        <v>VC</v>
      </c>
      <c r="N22" s="443"/>
      <c r="O22" s="444" t="e">
        <f t="shared" si="2"/>
        <v>#N/A</v>
      </c>
      <c r="P22" s="445"/>
      <c r="Q22" s="446" t="e">
        <f>VLOOKUP(P22,'[2]- DLiêu Gốc -'!$C$2:$H$114,2,0)</f>
        <v>#N/A</v>
      </c>
      <c r="R22" s="584" t="s">
        <v>138</v>
      </c>
      <c r="S22" s="448" t="s">
        <v>139</v>
      </c>
      <c r="T22" s="449" t="str">
        <f>VLOOKUP(Y22,'[2]- DLiêu Gốc -'!$C$2:$H$60,5,0)</f>
        <v>A1</v>
      </c>
      <c r="U22" s="450" t="str">
        <f>VLOOKUP(Y22,'[2]- DLiêu Gốc -'!$C$2:$H$60,6,0)</f>
        <v>- - -</v>
      </c>
      <c r="V22" s="727" t="s">
        <v>73</v>
      </c>
      <c r="W22" s="728" t="str">
        <f t="shared" si="3"/>
        <v>Giảng viên (hạng III)</v>
      </c>
      <c r="X22" s="729" t="str">
        <f t="shared" si="4"/>
        <v>V.07.01.03</v>
      </c>
      <c r="Y22" s="451" t="s">
        <v>77</v>
      </c>
      <c r="Z22" s="451" t="str">
        <f>VLOOKUP(Y22,'[2]- DLiêu Gốc -'!$C$1:$H$132,2,0)</f>
        <v>V.07.01.03</v>
      </c>
      <c r="AA22" s="268" t="str">
        <f t="shared" si="5"/>
        <v>Lương</v>
      </c>
      <c r="AB22" s="452">
        <v>5</v>
      </c>
      <c r="AC22" s="453" t="str">
        <f t="shared" si="6"/>
        <v>/</v>
      </c>
      <c r="AD22" s="454">
        <f t="shared" si="7"/>
        <v>9</v>
      </c>
      <c r="AE22" s="455">
        <f t="shared" si="8"/>
        <v>3.66</v>
      </c>
      <c r="AF22" s="456"/>
      <c r="AG22" s="456"/>
      <c r="AH22" s="457"/>
      <c r="AI22" s="458"/>
      <c r="AJ22" s="459"/>
      <c r="AK22" s="458"/>
      <c r="AL22" s="460"/>
      <c r="AM22" s="461"/>
      <c r="AN22" s="462"/>
      <c r="AO22" s="463">
        <f t="shared" si="9"/>
        <v>6</v>
      </c>
      <c r="AP22" s="464" t="str">
        <f t="shared" si="10"/>
        <v>/</v>
      </c>
      <c r="AQ22" s="465">
        <f t="shared" si="11"/>
        <v>9</v>
      </c>
      <c r="AR22" s="265">
        <f t="shared" si="12"/>
        <v>3.99</v>
      </c>
      <c r="AS22" s="466"/>
      <c r="AT22" s="467" t="s">
        <v>43</v>
      </c>
      <c r="AU22" s="468" t="s">
        <v>53</v>
      </c>
      <c r="AV22" s="469" t="s">
        <v>49</v>
      </c>
      <c r="AW22" s="468" t="s">
        <v>53</v>
      </c>
      <c r="AX22" s="470">
        <v>2017</v>
      </c>
      <c r="AY22" s="471"/>
      <c r="AZ22" s="472"/>
      <c r="BA22" s="266">
        <f t="shared" si="13"/>
        <v>3</v>
      </c>
      <c r="BB22" s="473">
        <f t="shared" si="14"/>
        <v>-24211</v>
      </c>
      <c r="BC22" s="267">
        <f>VLOOKUP(Y22,'[2]- DLiêu Gốc -'!$C$1:$F$60,3,0)</f>
        <v>2.34</v>
      </c>
      <c r="BD22" s="267">
        <f>VLOOKUP(Y22,'[2]- DLiêu Gốc -'!$C$1:$F$60,4,0)</f>
        <v>0.33</v>
      </c>
      <c r="BE22" s="474" t="str">
        <f t="shared" si="15"/>
        <v>PCTN</v>
      </c>
      <c r="BF22" s="475">
        <v>14</v>
      </c>
      <c r="BG22" s="476" t="s">
        <v>41</v>
      </c>
      <c r="BH22" s="477" t="s">
        <v>43</v>
      </c>
      <c r="BI22" s="478" t="s">
        <v>53</v>
      </c>
      <c r="BJ22" s="730">
        <v>5</v>
      </c>
      <c r="BK22" s="479" t="s">
        <v>53</v>
      </c>
      <c r="BL22" s="480">
        <v>2017</v>
      </c>
      <c r="BM22" s="481"/>
      <c r="BN22" s="482"/>
      <c r="BO22" s="483">
        <f t="shared" si="16"/>
        <v>15</v>
      </c>
      <c r="BP22" s="484" t="s">
        <v>41</v>
      </c>
      <c r="BQ22" s="485" t="s">
        <v>43</v>
      </c>
      <c r="BR22" s="468" t="s">
        <v>53</v>
      </c>
      <c r="BS22" s="486">
        <v>5</v>
      </c>
      <c r="BT22" s="487" t="s">
        <v>53</v>
      </c>
      <c r="BU22" s="51">
        <v>2018</v>
      </c>
      <c r="BV22" s="731"/>
      <c r="BW22" s="865">
        <v>5</v>
      </c>
      <c r="BX22" s="840">
        <f t="shared" si="17"/>
        <v>-24221</v>
      </c>
      <c r="BY22" s="474" t="str">
        <f t="shared" si="18"/>
        <v>- - -</v>
      </c>
      <c r="BZ22" s="732" t="str">
        <f t="shared" si="19"/>
        <v>Chánh Văn phòng Học viện, Trưởng Ban Tổ chức - Cán bộ, Trưởng Khoa Khoa học hành chính và Tổ chức nhân sự</v>
      </c>
      <c r="CA22" s="3" t="str">
        <f t="shared" si="20"/>
        <v>A</v>
      </c>
      <c r="CB22" s="733" t="str">
        <f t="shared" si="21"/>
        <v>=&gt; s</v>
      </c>
      <c r="CC22" s="268">
        <f t="shared" si="22"/>
        <v>24235</v>
      </c>
      <c r="CD22" s="98" t="str">
        <f t="shared" si="23"/>
        <v>---</v>
      </c>
      <c r="CE22" s="98"/>
      <c r="CF22" s="866"/>
      <c r="CG22" s="98"/>
      <c r="CH22" s="734"/>
      <c r="CI22" s="98" t="str">
        <f t="shared" si="24"/>
        <v>- - -</v>
      </c>
      <c r="CJ22" s="269" t="str">
        <f t="shared" si="25"/>
        <v>- - -</v>
      </c>
      <c r="CK22" s="735"/>
      <c r="CL22" s="736"/>
      <c r="CM22" s="735"/>
      <c r="CN22" s="737"/>
      <c r="CO22" s="269" t="str">
        <f t="shared" si="26"/>
        <v>- - -</v>
      </c>
      <c r="CP22" s="735"/>
      <c r="CQ22" s="736"/>
      <c r="CR22" s="735"/>
      <c r="CS22" s="737"/>
      <c r="CT22" s="738" t="str">
        <f t="shared" si="27"/>
        <v>---</v>
      </c>
      <c r="CU22" s="739" t="str">
        <f t="shared" si="28"/>
        <v>/-/ /-/</v>
      </c>
      <c r="CV22" s="740">
        <f t="shared" si="29"/>
        <v>8</v>
      </c>
      <c r="CW22" s="741">
        <f t="shared" si="30"/>
        <v>2034</v>
      </c>
      <c r="CX22" s="740">
        <f t="shared" si="31"/>
        <v>5</v>
      </c>
      <c r="CY22" s="741">
        <f t="shared" si="32"/>
        <v>2034</v>
      </c>
      <c r="CZ22" s="740">
        <f t="shared" si="33"/>
        <v>2</v>
      </c>
      <c r="DA22" s="741">
        <f t="shared" si="34"/>
        <v>2034</v>
      </c>
      <c r="DB22" s="742" t="str">
        <f t="shared" si="35"/>
        <v>- - -</v>
      </c>
      <c r="DC22" s="743" t="str">
        <f t="shared" si="36"/>
        <v>. .</v>
      </c>
      <c r="DD22" s="743"/>
      <c r="DE22" s="268">
        <f t="shared" si="37"/>
        <v>660</v>
      </c>
      <c r="DF22" s="268">
        <f t="shared" si="38"/>
        <v>-23743</v>
      </c>
      <c r="DG22" s="268">
        <f t="shared" si="39"/>
        <v>-1979</v>
      </c>
      <c r="DH22" s="268" t="str">
        <f t="shared" si="40"/>
        <v>Nữ dưới 30</v>
      </c>
      <c r="DI22" s="268"/>
      <c r="DJ22" s="268"/>
      <c r="DK22" s="474" t="str">
        <f t="shared" si="41"/>
        <v>Đến 30</v>
      </c>
      <c r="DL22" s="735" t="str">
        <f t="shared" si="42"/>
        <v>TD</v>
      </c>
      <c r="DM22" s="744">
        <v>2008</v>
      </c>
      <c r="DN22" s="98"/>
      <c r="DO22" s="745"/>
      <c r="DP22" s="744"/>
      <c r="DQ22" s="737"/>
      <c r="DR22" s="746"/>
      <c r="DS22" s="279"/>
      <c r="DT22" s="270"/>
      <c r="DU22" s="51"/>
      <c r="DV22" s="447" t="s">
        <v>138</v>
      </c>
      <c r="DW22" s="467" t="s">
        <v>183</v>
      </c>
      <c r="DX22" s="469" t="s">
        <v>140</v>
      </c>
      <c r="DY22" s="469" t="s">
        <v>43</v>
      </c>
      <c r="DZ22" s="469" t="s">
        <v>53</v>
      </c>
      <c r="EA22" s="747" t="s">
        <v>49</v>
      </c>
      <c r="EB22" s="469" t="s">
        <v>53</v>
      </c>
      <c r="EC22" s="748" t="s">
        <v>55</v>
      </c>
      <c r="ED22" s="467">
        <f t="shared" si="43"/>
        <v>0</v>
      </c>
      <c r="EE22" s="469" t="str">
        <f t="shared" si="44"/>
        <v>- - -</v>
      </c>
      <c r="EF22" s="469" t="s">
        <v>43</v>
      </c>
      <c r="EG22" s="469" t="s">
        <v>53</v>
      </c>
      <c r="EH22" s="747" t="s">
        <v>49</v>
      </c>
      <c r="EI22" s="98" t="s">
        <v>53</v>
      </c>
      <c r="EJ22" s="269" t="s">
        <v>55</v>
      </c>
      <c r="EK22" s="271"/>
      <c r="EL22" s="51" t="str">
        <f t="shared" si="45"/>
        <v>- - -</v>
      </c>
      <c r="EM22" s="749" t="str">
        <f t="shared" si="46"/>
        <v>---</v>
      </c>
      <c r="EN22" s="749"/>
      <c r="EO22" s="749"/>
      <c r="EP22" s="749"/>
      <c r="EQ22" s="749"/>
      <c r="ER22" s="749"/>
      <c r="ES22" s="749"/>
      <c r="ET22" s="749"/>
      <c r="EU22" s="749"/>
      <c r="EV22" s="749"/>
      <c r="EW22" s="749"/>
      <c r="EX22" s="749"/>
      <c r="EY22" s="749"/>
      <c r="EZ22" s="749"/>
      <c r="FA22" s="749"/>
      <c r="FB22" s="749"/>
      <c r="FC22" s="749"/>
      <c r="FD22" s="749"/>
      <c r="FE22" s="749"/>
      <c r="FF22" s="749"/>
      <c r="FG22" s="749"/>
      <c r="FH22" s="749"/>
      <c r="FI22" s="749"/>
      <c r="FJ22" s="749"/>
      <c r="FK22" s="750"/>
      <c r="FL22" s="750"/>
      <c r="FM22" s="750"/>
      <c r="FN22" s="750"/>
      <c r="FO22" s="750"/>
      <c r="FP22" s="867"/>
      <c r="FQ22" s="867"/>
      <c r="FR22" s="867"/>
      <c r="FS22" s="867"/>
      <c r="FT22" s="867"/>
      <c r="FU22" s="867"/>
      <c r="FV22" s="867"/>
      <c r="FW22" s="867"/>
      <c r="FX22" s="867"/>
      <c r="FY22" s="867"/>
      <c r="FZ22" s="867"/>
      <c r="GA22" s="867"/>
      <c r="GB22" s="867"/>
      <c r="GC22" s="867"/>
      <c r="GD22" s="867"/>
      <c r="GE22" s="867"/>
      <c r="GF22" s="867"/>
      <c r="GG22" s="867"/>
      <c r="GH22" s="867"/>
      <c r="GI22" s="867"/>
      <c r="GJ22" s="867"/>
      <c r="GK22" s="867"/>
      <c r="GL22" s="867"/>
      <c r="GM22" s="867"/>
      <c r="GN22" s="867"/>
      <c r="GO22" s="867"/>
      <c r="GP22" s="867"/>
      <c r="GQ22" s="867"/>
      <c r="GR22" s="867"/>
      <c r="GS22" s="867"/>
      <c r="GT22" s="867"/>
      <c r="GU22" s="867"/>
      <c r="GV22" s="867"/>
      <c r="GW22" s="867"/>
      <c r="GX22" s="867"/>
      <c r="GY22" s="867"/>
      <c r="GZ22" s="867"/>
      <c r="HA22" s="867"/>
      <c r="HB22" s="867"/>
      <c r="HC22" s="867"/>
      <c r="HD22" s="867"/>
      <c r="HE22" s="867"/>
      <c r="HF22" s="867"/>
      <c r="HG22" s="867"/>
      <c r="HH22" s="867"/>
      <c r="HI22" s="867"/>
      <c r="HJ22" s="867"/>
      <c r="HK22" s="867"/>
      <c r="HL22" s="867"/>
      <c r="HM22" s="867"/>
      <c r="HN22" s="867"/>
      <c r="HO22" s="867"/>
      <c r="HP22" s="867"/>
    </row>
    <row r="23" spans="1:224" s="488" customFormat="1" ht="28.5" customHeight="1" x14ac:dyDescent="0.2">
      <c r="A23" s="98">
        <v>177</v>
      </c>
      <c r="B23" s="864">
        <v>7</v>
      </c>
      <c r="C23" s="98"/>
      <c r="D23" s="98" t="str">
        <f t="shared" si="0"/>
        <v>Bà</v>
      </c>
      <c r="E23" s="162" t="s">
        <v>253</v>
      </c>
      <c r="F23" s="98" t="s">
        <v>64</v>
      </c>
      <c r="G23" s="437" t="s">
        <v>44</v>
      </c>
      <c r="H23" s="438" t="s">
        <v>53</v>
      </c>
      <c r="I23" s="439">
        <v>5</v>
      </c>
      <c r="J23" s="438" t="s">
        <v>53</v>
      </c>
      <c r="K23" s="440">
        <v>1979</v>
      </c>
      <c r="L23" s="441" t="s">
        <v>83</v>
      </c>
      <c r="M23" s="442" t="str">
        <f t="shared" si="1"/>
        <v>VC</v>
      </c>
      <c r="N23" s="443"/>
      <c r="O23" s="444" t="str">
        <f t="shared" si="2"/>
        <v>CVụ</v>
      </c>
      <c r="P23" s="445" t="s">
        <v>30</v>
      </c>
      <c r="Q23" s="446">
        <f>VLOOKUP(P23,'[2]- DLiêu Gốc -'!$C$2:$H$114,2,0)</f>
        <v>0.4</v>
      </c>
      <c r="R23" s="584" t="s">
        <v>254</v>
      </c>
      <c r="S23" s="448" t="s">
        <v>139</v>
      </c>
      <c r="T23" s="449" t="str">
        <f>VLOOKUP(Y23,'[2]- DLiêu Gốc -'!$C$2:$H$60,5,0)</f>
        <v>A1</v>
      </c>
      <c r="U23" s="450" t="str">
        <f>VLOOKUP(Y23,'[2]- DLiêu Gốc -'!$C$2:$H$60,6,0)</f>
        <v>- - -</v>
      </c>
      <c r="V23" s="727" t="s">
        <v>73</v>
      </c>
      <c r="W23" s="728" t="str">
        <f t="shared" si="3"/>
        <v>Giảng viên (hạng III)</v>
      </c>
      <c r="X23" s="729" t="str">
        <f t="shared" si="4"/>
        <v>V.07.01.03</v>
      </c>
      <c r="Y23" s="451" t="s">
        <v>77</v>
      </c>
      <c r="Z23" s="451" t="str">
        <f>VLOOKUP(Y23,'[2]- DLiêu Gốc -'!$C$1:$H$132,2,0)</f>
        <v>V.07.01.03</v>
      </c>
      <c r="AA23" s="268" t="str">
        <f t="shared" si="5"/>
        <v>Lương</v>
      </c>
      <c r="AB23" s="452">
        <v>5</v>
      </c>
      <c r="AC23" s="453" t="str">
        <f t="shared" si="6"/>
        <v>/</v>
      </c>
      <c r="AD23" s="454">
        <f t="shared" si="7"/>
        <v>9</v>
      </c>
      <c r="AE23" s="455">
        <f t="shared" si="8"/>
        <v>3.66</v>
      </c>
      <c r="AF23" s="456"/>
      <c r="AG23" s="456"/>
      <c r="AH23" s="457"/>
      <c r="AI23" s="458"/>
      <c r="AJ23" s="459"/>
      <c r="AK23" s="458"/>
      <c r="AL23" s="460"/>
      <c r="AM23" s="461"/>
      <c r="AN23" s="462"/>
      <c r="AO23" s="463">
        <f t="shared" si="9"/>
        <v>6</v>
      </c>
      <c r="AP23" s="464" t="str">
        <f t="shared" si="10"/>
        <v>/</v>
      </c>
      <c r="AQ23" s="465">
        <f t="shared" si="11"/>
        <v>9</v>
      </c>
      <c r="AR23" s="265">
        <f t="shared" si="12"/>
        <v>3.99</v>
      </c>
      <c r="AS23" s="466"/>
      <c r="AT23" s="467" t="s">
        <v>43</v>
      </c>
      <c r="AU23" s="468" t="s">
        <v>53</v>
      </c>
      <c r="AV23" s="469" t="s">
        <v>43</v>
      </c>
      <c r="AW23" s="468" t="s">
        <v>53</v>
      </c>
      <c r="AX23" s="470">
        <v>2018</v>
      </c>
      <c r="AY23" s="471"/>
      <c r="AZ23" s="472">
        <v>1.18</v>
      </c>
      <c r="BA23" s="266">
        <f t="shared" si="13"/>
        <v>3</v>
      </c>
      <c r="BB23" s="473">
        <f t="shared" si="14"/>
        <v>-24217</v>
      </c>
      <c r="BC23" s="267">
        <f>VLOOKUP(Y23,'[2]- DLiêu Gốc -'!$C$1:$F$60,3,0)</f>
        <v>2.34</v>
      </c>
      <c r="BD23" s="267">
        <f>VLOOKUP(Y23,'[2]- DLiêu Gốc -'!$C$1:$F$60,4,0)</f>
        <v>0.33</v>
      </c>
      <c r="BE23" s="474" t="str">
        <f t="shared" si="15"/>
        <v>PCTN</v>
      </c>
      <c r="BF23" s="475">
        <v>14</v>
      </c>
      <c r="BG23" s="476" t="s">
        <v>41</v>
      </c>
      <c r="BH23" s="477" t="s">
        <v>43</v>
      </c>
      <c r="BI23" s="478" t="s">
        <v>53</v>
      </c>
      <c r="BJ23" s="730">
        <v>5</v>
      </c>
      <c r="BK23" s="479" t="s">
        <v>53</v>
      </c>
      <c r="BL23" s="480">
        <v>2017</v>
      </c>
      <c r="BM23" s="481"/>
      <c r="BN23" s="482"/>
      <c r="BO23" s="483">
        <f t="shared" si="16"/>
        <v>15</v>
      </c>
      <c r="BP23" s="484" t="s">
        <v>41</v>
      </c>
      <c r="BQ23" s="485" t="s">
        <v>43</v>
      </c>
      <c r="BR23" s="468" t="s">
        <v>53</v>
      </c>
      <c r="BS23" s="486">
        <v>5</v>
      </c>
      <c r="BT23" s="487" t="s">
        <v>53</v>
      </c>
      <c r="BU23" s="51">
        <v>2018</v>
      </c>
      <c r="BV23" s="731"/>
      <c r="BW23" s="865">
        <v>5</v>
      </c>
      <c r="BX23" s="840">
        <f t="shared" si="17"/>
        <v>-24221</v>
      </c>
      <c r="BY23" s="474" t="str">
        <f t="shared" si="18"/>
        <v>- - -</v>
      </c>
      <c r="BZ23" s="732" t="str">
        <f t="shared" si="19"/>
        <v>Chánh Văn phòng Học viện, Trưởng Ban Tổ chức - Cán bộ, Trưởng Khoa Khoa học hành chính và Tổ chức nhân sự</v>
      </c>
      <c r="CA23" s="3" t="str">
        <f t="shared" si="20"/>
        <v>A</v>
      </c>
      <c r="CB23" s="733" t="str">
        <f t="shared" si="21"/>
        <v>=&gt; s</v>
      </c>
      <c r="CC23" s="268">
        <f t="shared" si="22"/>
        <v>24241</v>
      </c>
      <c r="CD23" s="98" t="str">
        <f t="shared" si="23"/>
        <v>---</v>
      </c>
      <c r="CE23" s="98"/>
      <c r="CF23" s="866"/>
      <c r="CG23" s="98"/>
      <c r="CH23" s="734"/>
      <c r="CI23" s="98" t="str">
        <f t="shared" si="24"/>
        <v>- - -</v>
      </c>
      <c r="CJ23" s="269" t="str">
        <f t="shared" si="25"/>
        <v>- - -</v>
      </c>
      <c r="CK23" s="735"/>
      <c r="CL23" s="736"/>
      <c r="CM23" s="735"/>
      <c r="CN23" s="737"/>
      <c r="CO23" s="269" t="str">
        <f t="shared" si="26"/>
        <v>- - -</v>
      </c>
      <c r="CP23" s="735"/>
      <c r="CQ23" s="736"/>
      <c r="CR23" s="735"/>
      <c r="CS23" s="737"/>
      <c r="CT23" s="738" t="str">
        <f t="shared" si="27"/>
        <v>---</v>
      </c>
      <c r="CU23" s="739" t="str">
        <f t="shared" si="28"/>
        <v>/-/ /-/</v>
      </c>
      <c r="CV23" s="740">
        <f t="shared" si="29"/>
        <v>6</v>
      </c>
      <c r="CW23" s="741">
        <f t="shared" si="30"/>
        <v>2034</v>
      </c>
      <c r="CX23" s="740">
        <f t="shared" si="31"/>
        <v>3</v>
      </c>
      <c r="CY23" s="741">
        <f t="shared" si="32"/>
        <v>2034</v>
      </c>
      <c r="CZ23" s="740">
        <f t="shared" si="33"/>
        <v>12</v>
      </c>
      <c r="DA23" s="741">
        <f t="shared" si="34"/>
        <v>2033</v>
      </c>
      <c r="DB23" s="742" t="str">
        <f t="shared" si="35"/>
        <v>- - -</v>
      </c>
      <c r="DC23" s="743" t="str">
        <f t="shared" si="36"/>
        <v>. .</v>
      </c>
      <c r="DD23" s="743"/>
      <c r="DE23" s="268">
        <f t="shared" si="37"/>
        <v>660</v>
      </c>
      <c r="DF23" s="268">
        <f t="shared" si="38"/>
        <v>-23741</v>
      </c>
      <c r="DG23" s="268">
        <f t="shared" si="39"/>
        <v>-1979</v>
      </c>
      <c r="DH23" s="268" t="str">
        <f t="shared" si="40"/>
        <v>Nữ dưới 30</v>
      </c>
      <c r="DI23" s="268"/>
      <c r="DJ23" s="268"/>
      <c r="DK23" s="474" t="str">
        <f t="shared" si="41"/>
        <v>Đến 30</v>
      </c>
      <c r="DL23" s="735" t="str">
        <f t="shared" si="42"/>
        <v>--</v>
      </c>
      <c r="DM23" s="744"/>
      <c r="DN23" s="98"/>
      <c r="DO23" s="745"/>
      <c r="DP23" s="744"/>
      <c r="DQ23" s="737"/>
      <c r="DR23" s="746"/>
      <c r="DS23" s="279"/>
      <c r="DT23" s="270"/>
      <c r="DU23" s="51"/>
      <c r="DV23" s="447" t="s">
        <v>254</v>
      </c>
      <c r="DW23" s="467" t="s">
        <v>183</v>
      </c>
      <c r="DX23" s="469" t="s">
        <v>255</v>
      </c>
      <c r="DY23" s="469" t="s">
        <v>43</v>
      </c>
      <c r="DZ23" s="469" t="s">
        <v>53</v>
      </c>
      <c r="EA23" s="747" t="s">
        <v>43</v>
      </c>
      <c r="EB23" s="469" t="s">
        <v>53</v>
      </c>
      <c r="EC23" s="748" t="s">
        <v>62</v>
      </c>
      <c r="ED23" s="467">
        <f t="shared" si="43"/>
        <v>0</v>
      </c>
      <c r="EE23" s="469" t="str">
        <f t="shared" si="44"/>
        <v>- - -</v>
      </c>
      <c r="EF23" s="469" t="s">
        <v>43</v>
      </c>
      <c r="EG23" s="469" t="s">
        <v>53</v>
      </c>
      <c r="EH23" s="747" t="s">
        <v>43</v>
      </c>
      <c r="EI23" s="98" t="s">
        <v>53</v>
      </c>
      <c r="EJ23" s="269" t="s">
        <v>62</v>
      </c>
      <c r="EK23" s="271"/>
      <c r="EL23" s="51" t="str">
        <f t="shared" si="45"/>
        <v>- - -</v>
      </c>
      <c r="EM23" s="749" t="str">
        <f t="shared" si="46"/>
        <v>---</v>
      </c>
      <c r="EN23" s="749"/>
      <c r="EO23" s="749"/>
      <c r="EP23" s="749"/>
      <c r="EQ23" s="749"/>
      <c r="ER23" s="749"/>
      <c r="ES23" s="749"/>
      <c r="ET23" s="749"/>
      <c r="EU23" s="749"/>
      <c r="EV23" s="749"/>
      <c r="EW23" s="749"/>
      <c r="EX23" s="749"/>
      <c r="EY23" s="749"/>
      <c r="EZ23" s="749"/>
      <c r="FA23" s="749"/>
      <c r="FB23" s="749"/>
      <c r="FC23" s="749"/>
      <c r="FD23" s="749"/>
      <c r="FE23" s="749"/>
      <c r="FF23" s="749"/>
      <c r="FG23" s="749"/>
      <c r="FH23" s="749"/>
      <c r="FI23" s="749"/>
      <c r="FJ23" s="749"/>
      <c r="FK23" s="750"/>
      <c r="FL23" s="750"/>
      <c r="FM23" s="750"/>
      <c r="FN23" s="750"/>
      <c r="FO23" s="750"/>
      <c r="FP23" s="867"/>
      <c r="FQ23" s="867"/>
      <c r="FR23" s="867"/>
      <c r="FS23" s="867"/>
      <c r="FT23" s="867"/>
      <c r="FU23" s="867"/>
      <c r="FV23" s="867"/>
      <c r="FW23" s="867"/>
      <c r="FX23" s="867"/>
      <c r="FY23" s="867"/>
      <c r="FZ23" s="867"/>
      <c r="GA23" s="867"/>
      <c r="GB23" s="867"/>
      <c r="GC23" s="867"/>
      <c r="GD23" s="867"/>
      <c r="GE23" s="867"/>
      <c r="GF23" s="867"/>
      <c r="GG23" s="867"/>
      <c r="GH23" s="867"/>
      <c r="GI23" s="867"/>
      <c r="GJ23" s="867"/>
      <c r="GK23" s="867"/>
      <c r="GL23" s="867"/>
      <c r="GM23" s="867"/>
      <c r="GN23" s="867"/>
      <c r="GO23" s="867"/>
      <c r="GP23" s="867"/>
      <c r="GQ23" s="867"/>
      <c r="GR23" s="867"/>
      <c r="GS23" s="867"/>
      <c r="GT23" s="867"/>
      <c r="GU23" s="867"/>
      <c r="GV23" s="867"/>
      <c r="GW23" s="867"/>
      <c r="GX23" s="867"/>
      <c r="GY23" s="867"/>
      <c r="GZ23" s="867"/>
      <c r="HA23" s="867"/>
      <c r="HB23" s="867"/>
      <c r="HC23" s="867"/>
      <c r="HD23" s="867"/>
      <c r="HE23" s="867"/>
      <c r="HF23" s="867"/>
      <c r="HG23" s="867"/>
      <c r="HH23" s="867"/>
      <c r="HI23" s="867"/>
      <c r="HJ23" s="867"/>
      <c r="HK23" s="867"/>
      <c r="HL23" s="867"/>
      <c r="HM23" s="867"/>
      <c r="HN23" s="867"/>
      <c r="HO23" s="867"/>
      <c r="HP23" s="867"/>
    </row>
    <row r="24" spans="1:224" s="488" customFormat="1" ht="28.5" customHeight="1" x14ac:dyDescent="0.2">
      <c r="A24" s="98">
        <v>194</v>
      </c>
      <c r="B24" s="864">
        <v>8</v>
      </c>
      <c r="C24" s="98"/>
      <c r="D24" s="98" t="str">
        <f t="shared" si="0"/>
        <v>Bà</v>
      </c>
      <c r="E24" s="162" t="s">
        <v>256</v>
      </c>
      <c r="F24" s="98" t="s">
        <v>64</v>
      </c>
      <c r="G24" s="437" t="s">
        <v>40</v>
      </c>
      <c r="H24" s="438" t="s">
        <v>53</v>
      </c>
      <c r="I24" s="439" t="s">
        <v>57</v>
      </c>
      <c r="J24" s="438" t="s">
        <v>53</v>
      </c>
      <c r="K24" s="440" t="s">
        <v>155</v>
      </c>
      <c r="L24" s="441" t="s">
        <v>83</v>
      </c>
      <c r="M24" s="442" t="str">
        <f t="shared" si="1"/>
        <v>VC</v>
      </c>
      <c r="N24" s="443"/>
      <c r="O24" s="444" t="str">
        <f t="shared" si="2"/>
        <v>CVụ</v>
      </c>
      <c r="P24" s="445" t="s">
        <v>160</v>
      </c>
      <c r="Q24" s="446">
        <f>VLOOKUP(P24,'[2]- DLiêu Gốc -'!$C$2:$H$114,2,0)</f>
        <v>0.6</v>
      </c>
      <c r="R24" s="584" t="s">
        <v>257</v>
      </c>
      <c r="S24" s="448" t="s">
        <v>162</v>
      </c>
      <c r="T24" s="449" t="str">
        <f>VLOOKUP(Y24,'[2]- DLiêu Gốc -'!$C$2:$H$60,5,0)</f>
        <v>A1</v>
      </c>
      <c r="U24" s="450" t="str">
        <f>VLOOKUP(Y24,'[2]- DLiêu Gốc -'!$C$2:$H$60,6,0)</f>
        <v>- - -</v>
      </c>
      <c r="V24" s="727" t="s">
        <v>73</v>
      </c>
      <c r="W24" s="728" t="str">
        <f t="shared" si="3"/>
        <v>Giảng viên (hạng III)</v>
      </c>
      <c r="X24" s="729" t="str">
        <f t="shared" si="4"/>
        <v>V.07.01.03</v>
      </c>
      <c r="Y24" s="451" t="s">
        <v>77</v>
      </c>
      <c r="Z24" s="451" t="str">
        <f>VLOOKUP(Y24,'[2]- DLiêu Gốc -'!$C$1:$H$132,2,0)</f>
        <v>V.07.01.03</v>
      </c>
      <c r="AA24" s="268" t="str">
        <f t="shared" si="5"/>
        <v>Lương</v>
      </c>
      <c r="AB24" s="452">
        <v>5</v>
      </c>
      <c r="AC24" s="453" t="str">
        <f t="shared" si="6"/>
        <v>/</v>
      </c>
      <c r="AD24" s="454">
        <f t="shared" si="7"/>
        <v>9</v>
      </c>
      <c r="AE24" s="455">
        <f t="shared" si="8"/>
        <v>3.66</v>
      </c>
      <c r="AF24" s="456"/>
      <c r="AG24" s="456"/>
      <c r="AH24" s="457"/>
      <c r="AI24" s="458"/>
      <c r="AJ24" s="459"/>
      <c r="AK24" s="458"/>
      <c r="AL24" s="460"/>
      <c r="AM24" s="461"/>
      <c r="AN24" s="462"/>
      <c r="AO24" s="463">
        <f t="shared" si="9"/>
        <v>6</v>
      </c>
      <c r="AP24" s="464" t="str">
        <f t="shared" si="10"/>
        <v>/</v>
      </c>
      <c r="AQ24" s="465">
        <f t="shared" si="11"/>
        <v>9</v>
      </c>
      <c r="AR24" s="265">
        <f t="shared" si="12"/>
        <v>3.99</v>
      </c>
      <c r="AS24" s="466"/>
      <c r="AT24" s="467" t="s">
        <v>43</v>
      </c>
      <c r="AU24" s="468" t="s">
        <v>53</v>
      </c>
      <c r="AV24" s="469" t="s">
        <v>58</v>
      </c>
      <c r="AW24" s="468" t="s">
        <v>53</v>
      </c>
      <c r="AX24" s="470">
        <v>2016</v>
      </c>
      <c r="AY24" s="471"/>
      <c r="AZ24" s="472"/>
      <c r="BA24" s="266">
        <f t="shared" si="13"/>
        <v>3</v>
      </c>
      <c r="BB24" s="473">
        <f t="shared" si="14"/>
        <v>-24203</v>
      </c>
      <c r="BC24" s="267">
        <f>VLOOKUP(Y24,'[2]- DLiêu Gốc -'!$C$1:$F$60,3,0)</f>
        <v>2.34</v>
      </c>
      <c r="BD24" s="267">
        <f>VLOOKUP(Y24,'[2]- DLiêu Gốc -'!$C$1:$F$60,4,0)</f>
        <v>0.33</v>
      </c>
      <c r="BE24" s="474" t="str">
        <f t="shared" si="15"/>
        <v>PCTN</v>
      </c>
      <c r="BF24" s="475">
        <v>14</v>
      </c>
      <c r="BG24" s="476" t="s">
        <v>41</v>
      </c>
      <c r="BH24" s="477" t="s">
        <v>43</v>
      </c>
      <c r="BI24" s="478" t="s">
        <v>53</v>
      </c>
      <c r="BJ24" s="730">
        <v>5</v>
      </c>
      <c r="BK24" s="479" t="s">
        <v>53</v>
      </c>
      <c r="BL24" s="480">
        <v>2017</v>
      </c>
      <c r="BM24" s="481"/>
      <c r="BN24" s="482"/>
      <c r="BO24" s="483">
        <f t="shared" si="16"/>
        <v>15</v>
      </c>
      <c r="BP24" s="484" t="s">
        <v>41</v>
      </c>
      <c r="BQ24" s="485" t="s">
        <v>43</v>
      </c>
      <c r="BR24" s="468" t="s">
        <v>53</v>
      </c>
      <c r="BS24" s="486">
        <v>5</v>
      </c>
      <c r="BT24" s="487" t="s">
        <v>53</v>
      </c>
      <c r="BU24" s="51">
        <v>2018</v>
      </c>
      <c r="BV24" s="731"/>
      <c r="BW24" s="865">
        <v>5</v>
      </c>
      <c r="BX24" s="840">
        <f t="shared" si="17"/>
        <v>-24221</v>
      </c>
      <c r="BY24" s="474" t="str">
        <f t="shared" si="18"/>
        <v>- - -</v>
      </c>
      <c r="BZ24" s="732" t="str">
        <f t="shared" si="19"/>
        <v>Chánh Văn phòng Học viện, Trưởng Ban Tổ chức - Cán bộ, Trưởng Khoa Nhà nước - Pháp luật và Lý luận cơ sở</v>
      </c>
      <c r="CA24" s="3" t="str">
        <f t="shared" si="20"/>
        <v>A</v>
      </c>
      <c r="CB24" s="733" t="str">
        <f t="shared" si="21"/>
        <v>=&gt; s</v>
      </c>
      <c r="CC24" s="268">
        <f t="shared" si="22"/>
        <v>24227</v>
      </c>
      <c r="CD24" s="98" t="str">
        <f t="shared" si="23"/>
        <v>S</v>
      </c>
      <c r="CE24" s="98">
        <v>2010</v>
      </c>
      <c r="CF24" s="866" t="s">
        <v>75</v>
      </c>
      <c r="CG24" s="98"/>
      <c r="CH24" s="734"/>
      <c r="CI24" s="98" t="str">
        <f t="shared" si="24"/>
        <v>Cùg Ng</v>
      </c>
      <c r="CJ24" s="269" t="str">
        <f t="shared" si="25"/>
        <v>- - -</v>
      </c>
      <c r="CK24" s="735"/>
      <c r="CL24" s="736"/>
      <c r="CM24" s="735"/>
      <c r="CN24" s="737"/>
      <c r="CO24" s="269" t="str">
        <f t="shared" si="26"/>
        <v>- - -</v>
      </c>
      <c r="CP24" s="735"/>
      <c r="CQ24" s="736"/>
      <c r="CR24" s="735"/>
      <c r="CS24" s="737"/>
      <c r="CT24" s="738" t="str">
        <f t="shared" si="27"/>
        <v>---</v>
      </c>
      <c r="CU24" s="739" t="str">
        <f t="shared" si="28"/>
        <v>/-/ /-/</v>
      </c>
      <c r="CV24" s="740">
        <f t="shared" si="29"/>
        <v>11</v>
      </c>
      <c r="CW24" s="741">
        <f t="shared" si="30"/>
        <v>2033</v>
      </c>
      <c r="CX24" s="740">
        <f t="shared" si="31"/>
        <v>8</v>
      </c>
      <c r="CY24" s="741">
        <f t="shared" si="32"/>
        <v>2033</v>
      </c>
      <c r="CZ24" s="740">
        <f t="shared" si="33"/>
        <v>5</v>
      </c>
      <c r="DA24" s="741">
        <f t="shared" si="34"/>
        <v>2033</v>
      </c>
      <c r="DB24" s="742" t="str">
        <f t="shared" si="35"/>
        <v>- - -</v>
      </c>
      <c r="DC24" s="743" t="str">
        <f t="shared" si="36"/>
        <v>. .</v>
      </c>
      <c r="DD24" s="743"/>
      <c r="DE24" s="268">
        <f t="shared" si="37"/>
        <v>660</v>
      </c>
      <c r="DF24" s="268">
        <f t="shared" si="38"/>
        <v>-23734</v>
      </c>
      <c r="DG24" s="268">
        <f t="shared" si="39"/>
        <v>-1978</v>
      </c>
      <c r="DH24" s="268" t="str">
        <f t="shared" si="40"/>
        <v>Nữ dưới 30</v>
      </c>
      <c r="DI24" s="268"/>
      <c r="DJ24" s="268"/>
      <c r="DK24" s="474" t="str">
        <f t="shared" si="41"/>
        <v>Đến 30</v>
      </c>
      <c r="DL24" s="735" t="str">
        <f t="shared" si="42"/>
        <v>TD</v>
      </c>
      <c r="DM24" s="744">
        <v>2008</v>
      </c>
      <c r="DN24" s="98"/>
      <c r="DO24" s="745"/>
      <c r="DP24" s="744"/>
      <c r="DQ24" s="737"/>
      <c r="DR24" s="746"/>
      <c r="DS24" s="279"/>
      <c r="DT24" s="270"/>
      <c r="DU24" s="51"/>
      <c r="DV24" s="447" t="s">
        <v>257</v>
      </c>
      <c r="DW24" s="467" t="s">
        <v>258</v>
      </c>
      <c r="DX24" s="469" t="s">
        <v>257</v>
      </c>
      <c r="DY24" s="469" t="s">
        <v>43</v>
      </c>
      <c r="DZ24" s="469" t="s">
        <v>53</v>
      </c>
      <c r="EA24" s="747" t="s">
        <v>58</v>
      </c>
      <c r="EB24" s="469" t="s">
        <v>53</v>
      </c>
      <c r="EC24" s="748">
        <v>2013</v>
      </c>
      <c r="ED24" s="467">
        <f t="shared" si="43"/>
        <v>0</v>
      </c>
      <c r="EE24" s="469" t="str">
        <f t="shared" si="44"/>
        <v>- - -</v>
      </c>
      <c r="EF24" s="469" t="s">
        <v>43</v>
      </c>
      <c r="EG24" s="469" t="s">
        <v>53</v>
      </c>
      <c r="EH24" s="747" t="s">
        <v>58</v>
      </c>
      <c r="EI24" s="98" t="s">
        <v>53</v>
      </c>
      <c r="EJ24" s="269">
        <v>2013</v>
      </c>
      <c r="EK24" s="271"/>
      <c r="EL24" s="51" t="str">
        <f t="shared" si="45"/>
        <v>- - -</v>
      </c>
      <c r="EM24" s="749" t="str">
        <f t="shared" si="46"/>
        <v>---</v>
      </c>
      <c r="EN24" s="749"/>
      <c r="EO24" s="749"/>
      <c r="EP24" s="749"/>
      <c r="EQ24" s="749"/>
      <c r="ER24" s="749"/>
      <c r="ES24" s="749"/>
      <c r="ET24" s="749"/>
      <c r="EU24" s="749"/>
      <c r="EV24" s="749"/>
      <c r="EW24" s="749"/>
      <c r="EX24" s="749"/>
      <c r="EY24" s="749"/>
      <c r="EZ24" s="749"/>
      <c r="FA24" s="749"/>
      <c r="FB24" s="749"/>
      <c r="FC24" s="749"/>
      <c r="FD24" s="749"/>
      <c r="FE24" s="749"/>
      <c r="FF24" s="749"/>
      <c r="FG24" s="749"/>
      <c r="FH24" s="749"/>
      <c r="FI24" s="749"/>
      <c r="FJ24" s="749"/>
      <c r="FK24" s="750"/>
      <c r="FL24" s="750"/>
      <c r="FM24" s="750"/>
      <c r="FN24" s="750"/>
      <c r="FO24" s="750"/>
      <c r="FP24" s="867"/>
      <c r="FQ24" s="867"/>
      <c r="FR24" s="867"/>
      <c r="FS24" s="867"/>
      <c r="FT24" s="867"/>
      <c r="FU24" s="867"/>
      <c r="FV24" s="867"/>
      <c r="FW24" s="867"/>
      <c r="FX24" s="867"/>
      <c r="FY24" s="867"/>
      <c r="FZ24" s="867"/>
      <c r="GA24" s="867"/>
      <c r="GB24" s="867"/>
      <c r="GC24" s="867"/>
      <c r="GD24" s="867"/>
      <c r="GE24" s="867"/>
      <c r="GF24" s="867"/>
      <c r="GG24" s="867"/>
      <c r="GH24" s="867"/>
      <c r="GI24" s="867"/>
      <c r="GJ24" s="867"/>
      <c r="GK24" s="867"/>
      <c r="GL24" s="867"/>
      <c r="GM24" s="867"/>
      <c r="GN24" s="867"/>
      <c r="GO24" s="867"/>
      <c r="GP24" s="867"/>
      <c r="GQ24" s="867"/>
      <c r="GR24" s="867"/>
      <c r="GS24" s="867"/>
      <c r="GT24" s="867"/>
      <c r="GU24" s="867"/>
      <c r="GV24" s="867"/>
      <c r="GW24" s="867"/>
      <c r="GX24" s="867"/>
      <c r="GY24" s="867"/>
      <c r="GZ24" s="867"/>
      <c r="HA24" s="867"/>
      <c r="HB24" s="867"/>
      <c r="HC24" s="867"/>
      <c r="HD24" s="867"/>
      <c r="HE24" s="867"/>
      <c r="HF24" s="867"/>
      <c r="HG24" s="867"/>
      <c r="HH24" s="867"/>
      <c r="HI24" s="867"/>
      <c r="HJ24" s="867"/>
      <c r="HK24" s="867"/>
      <c r="HL24" s="867"/>
      <c r="HM24" s="867"/>
      <c r="HN24" s="867"/>
      <c r="HO24" s="867"/>
      <c r="HP24" s="867"/>
    </row>
    <row r="25" spans="1:224" s="488" customFormat="1" ht="28.5" customHeight="1" x14ac:dyDescent="0.2">
      <c r="A25" s="98">
        <v>200</v>
      </c>
      <c r="B25" s="864">
        <v>9</v>
      </c>
      <c r="C25" s="98"/>
      <c r="D25" s="98" t="str">
        <f t="shared" si="0"/>
        <v>Bà</v>
      </c>
      <c r="E25" s="162" t="s">
        <v>259</v>
      </c>
      <c r="F25" s="98" t="s">
        <v>64</v>
      </c>
      <c r="G25" s="437" t="s">
        <v>57</v>
      </c>
      <c r="H25" s="438" t="s">
        <v>53</v>
      </c>
      <c r="I25" s="439" t="s">
        <v>57</v>
      </c>
      <c r="J25" s="438" t="s">
        <v>53</v>
      </c>
      <c r="K25" s="440" t="s">
        <v>155</v>
      </c>
      <c r="L25" s="441" t="s">
        <v>83</v>
      </c>
      <c r="M25" s="442" t="str">
        <f t="shared" si="1"/>
        <v>VC</v>
      </c>
      <c r="N25" s="443"/>
      <c r="O25" s="444" t="e">
        <f t="shared" si="2"/>
        <v>#N/A</v>
      </c>
      <c r="P25" s="445"/>
      <c r="Q25" s="446" t="e">
        <f>VLOOKUP(P25,'[2]- DLiêu Gốc -'!$C$2:$H$114,2,0)</f>
        <v>#N/A</v>
      </c>
      <c r="R25" s="584" t="s">
        <v>161</v>
      </c>
      <c r="S25" s="448" t="s">
        <v>162</v>
      </c>
      <c r="T25" s="449" t="str">
        <f>VLOOKUP(Y25,'[2]- DLiêu Gốc -'!$C$2:$H$60,5,0)</f>
        <v>A1</v>
      </c>
      <c r="U25" s="450" t="str">
        <f>VLOOKUP(Y25,'[2]- DLiêu Gốc -'!$C$2:$H$60,6,0)</f>
        <v>- - -</v>
      </c>
      <c r="V25" s="727" t="s">
        <v>73</v>
      </c>
      <c r="W25" s="728" t="str">
        <f t="shared" si="3"/>
        <v>Giảng viên (hạng III)</v>
      </c>
      <c r="X25" s="729" t="str">
        <f t="shared" si="4"/>
        <v>V.07.01.03</v>
      </c>
      <c r="Y25" s="451" t="s">
        <v>77</v>
      </c>
      <c r="Z25" s="451" t="str">
        <f>VLOOKUP(Y25,'[2]- DLiêu Gốc -'!$C$1:$H$132,2,0)</f>
        <v>V.07.01.03</v>
      </c>
      <c r="AA25" s="268" t="str">
        <f t="shared" si="5"/>
        <v>Lương</v>
      </c>
      <c r="AB25" s="452">
        <v>4</v>
      </c>
      <c r="AC25" s="453" t="str">
        <f t="shared" si="6"/>
        <v>/</v>
      </c>
      <c r="AD25" s="454">
        <f t="shared" si="7"/>
        <v>9</v>
      </c>
      <c r="AE25" s="455">
        <f t="shared" si="8"/>
        <v>3.33</v>
      </c>
      <c r="AF25" s="456"/>
      <c r="AG25" s="456"/>
      <c r="AH25" s="457"/>
      <c r="AI25" s="458"/>
      <c r="AJ25" s="459"/>
      <c r="AK25" s="458"/>
      <c r="AL25" s="460"/>
      <c r="AM25" s="461"/>
      <c r="AN25" s="462"/>
      <c r="AO25" s="463">
        <f t="shared" si="9"/>
        <v>5</v>
      </c>
      <c r="AP25" s="464" t="str">
        <f t="shared" si="10"/>
        <v>/</v>
      </c>
      <c r="AQ25" s="465">
        <f t="shared" si="11"/>
        <v>9</v>
      </c>
      <c r="AR25" s="265">
        <f t="shared" si="12"/>
        <v>3.66</v>
      </c>
      <c r="AS25" s="466"/>
      <c r="AT25" s="467" t="s">
        <v>43</v>
      </c>
      <c r="AU25" s="468" t="s">
        <v>53</v>
      </c>
      <c r="AV25" s="469">
        <v>8</v>
      </c>
      <c r="AW25" s="468" t="s">
        <v>53</v>
      </c>
      <c r="AX25" s="470">
        <v>2016</v>
      </c>
      <c r="AY25" s="471"/>
      <c r="AZ25" s="472"/>
      <c r="BA25" s="266">
        <f t="shared" si="13"/>
        <v>3</v>
      </c>
      <c r="BB25" s="473">
        <f t="shared" si="14"/>
        <v>-24200</v>
      </c>
      <c r="BC25" s="267">
        <f>VLOOKUP(Y25,'[2]- DLiêu Gốc -'!$C$1:$F$60,3,0)</f>
        <v>2.34</v>
      </c>
      <c r="BD25" s="267">
        <f>VLOOKUP(Y25,'[2]- DLiêu Gốc -'!$C$1:$F$60,4,0)</f>
        <v>0.33</v>
      </c>
      <c r="BE25" s="474" t="str">
        <f t="shared" si="15"/>
        <v>PCTN</v>
      </c>
      <c r="BF25" s="475">
        <v>12</v>
      </c>
      <c r="BG25" s="476" t="s">
        <v>41</v>
      </c>
      <c r="BH25" s="477" t="s">
        <v>43</v>
      </c>
      <c r="BI25" s="478" t="s">
        <v>53</v>
      </c>
      <c r="BJ25" s="730">
        <v>5</v>
      </c>
      <c r="BK25" s="479" t="s">
        <v>53</v>
      </c>
      <c r="BL25" s="480">
        <v>2017</v>
      </c>
      <c r="BM25" s="481"/>
      <c r="BN25" s="482"/>
      <c r="BO25" s="483">
        <f t="shared" si="16"/>
        <v>13</v>
      </c>
      <c r="BP25" s="484" t="s">
        <v>41</v>
      </c>
      <c r="BQ25" s="485" t="s">
        <v>43</v>
      </c>
      <c r="BR25" s="468" t="s">
        <v>53</v>
      </c>
      <c r="BS25" s="486">
        <v>5</v>
      </c>
      <c r="BT25" s="487" t="s">
        <v>53</v>
      </c>
      <c r="BU25" s="51">
        <v>2018</v>
      </c>
      <c r="BV25" s="731"/>
      <c r="BW25" s="865">
        <v>5</v>
      </c>
      <c r="BX25" s="840">
        <f t="shared" si="17"/>
        <v>-24221</v>
      </c>
      <c r="BY25" s="474" t="str">
        <f t="shared" si="18"/>
        <v>- - -</v>
      </c>
      <c r="BZ25" s="732" t="str">
        <f t="shared" si="19"/>
        <v>Chánh Văn phòng Học viện, Trưởng Ban Tổ chức - Cán bộ, Trưởng Khoa Nhà nước - Pháp luật và Lý luận cơ sở</v>
      </c>
      <c r="CA25" s="3" t="str">
        <f t="shared" si="20"/>
        <v>A</v>
      </c>
      <c r="CB25" s="733" t="str">
        <f t="shared" si="21"/>
        <v>=&gt; s</v>
      </c>
      <c r="CC25" s="268">
        <f t="shared" si="22"/>
        <v>24224</v>
      </c>
      <c r="CD25" s="98" t="str">
        <f t="shared" si="23"/>
        <v>S</v>
      </c>
      <c r="CE25" s="98">
        <v>2013</v>
      </c>
      <c r="CF25" s="866" t="s">
        <v>75</v>
      </c>
      <c r="CG25" s="98"/>
      <c r="CH25" s="734"/>
      <c r="CI25" s="98" t="str">
        <f t="shared" si="24"/>
        <v>Cùg Ng</v>
      </c>
      <c r="CJ25" s="269" t="str">
        <f t="shared" si="25"/>
        <v>- - -</v>
      </c>
      <c r="CK25" s="735"/>
      <c r="CL25" s="736"/>
      <c r="CM25" s="735"/>
      <c r="CN25" s="737"/>
      <c r="CO25" s="269" t="str">
        <f t="shared" si="26"/>
        <v>- - -</v>
      </c>
      <c r="CP25" s="735"/>
      <c r="CQ25" s="736"/>
      <c r="CR25" s="735"/>
      <c r="CS25" s="737"/>
      <c r="CT25" s="738" t="str">
        <f t="shared" si="27"/>
        <v>---</v>
      </c>
      <c r="CU25" s="739" t="str">
        <f t="shared" si="28"/>
        <v>/-/ /-/</v>
      </c>
      <c r="CV25" s="740">
        <f t="shared" si="29"/>
        <v>11</v>
      </c>
      <c r="CW25" s="741">
        <f t="shared" si="30"/>
        <v>2033</v>
      </c>
      <c r="CX25" s="740">
        <f t="shared" si="31"/>
        <v>8</v>
      </c>
      <c r="CY25" s="741">
        <f t="shared" si="32"/>
        <v>2033</v>
      </c>
      <c r="CZ25" s="740">
        <f t="shared" si="33"/>
        <v>5</v>
      </c>
      <c r="DA25" s="741">
        <f t="shared" si="34"/>
        <v>2033</v>
      </c>
      <c r="DB25" s="742" t="str">
        <f t="shared" si="35"/>
        <v>- - -</v>
      </c>
      <c r="DC25" s="743" t="str">
        <f t="shared" si="36"/>
        <v>. .</v>
      </c>
      <c r="DD25" s="743"/>
      <c r="DE25" s="268">
        <f t="shared" si="37"/>
        <v>660</v>
      </c>
      <c r="DF25" s="268">
        <f t="shared" si="38"/>
        <v>-23734</v>
      </c>
      <c r="DG25" s="268">
        <f t="shared" si="39"/>
        <v>-1978</v>
      </c>
      <c r="DH25" s="268" t="str">
        <f t="shared" si="40"/>
        <v>Nữ dưới 30</v>
      </c>
      <c r="DI25" s="268"/>
      <c r="DJ25" s="268"/>
      <c r="DK25" s="474" t="str">
        <f t="shared" si="41"/>
        <v>Đến 30</v>
      </c>
      <c r="DL25" s="735" t="str">
        <f t="shared" si="42"/>
        <v>--</v>
      </c>
      <c r="DM25" s="744"/>
      <c r="DN25" s="98"/>
      <c r="DO25" s="745"/>
      <c r="DP25" s="744"/>
      <c r="DQ25" s="737"/>
      <c r="DR25" s="746"/>
      <c r="DS25" s="279"/>
      <c r="DT25" s="270"/>
      <c r="DU25" s="51"/>
      <c r="DV25" s="447" t="s">
        <v>161</v>
      </c>
      <c r="DW25" s="467" t="s">
        <v>258</v>
      </c>
      <c r="DX25" s="469" t="s">
        <v>161</v>
      </c>
      <c r="DY25" s="469" t="s">
        <v>43</v>
      </c>
      <c r="DZ25" s="469" t="s">
        <v>53</v>
      </c>
      <c r="EA25" s="747">
        <v>8</v>
      </c>
      <c r="EB25" s="469" t="s">
        <v>53</v>
      </c>
      <c r="EC25" s="748">
        <v>2013</v>
      </c>
      <c r="ED25" s="467">
        <f t="shared" si="43"/>
        <v>0</v>
      </c>
      <c r="EE25" s="469" t="str">
        <f t="shared" si="44"/>
        <v>- - -</v>
      </c>
      <c r="EF25" s="469" t="s">
        <v>43</v>
      </c>
      <c r="EG25" s="469" t="s">
        <v>53</v>
      </c>
      <c r="EH25" s="747">
        <v>8</v>
      </c>
      <c r="EI25" s="98" t="s">
        <v>53</v>
      </c>
      <c r="EJ25" s="269">
        <v>2013</v>
      </c>
      <c r="EK25" s="271"/>
      <c r="EL25" s="51" t="str">
        <f t="shared" si="45"/>
        <v>- - -</v>
      </c>
      <c r="EM25" s="749" t="str">
        <f t="shared" si="46"/>
        <v>---</v>
      </c>
      <c r="EN25" s="749"/>
      <c r="EO25" s="749"/>
      <c r="EP25" s="749"/>
      <c r="EQ25" s="749"/>
      <c r="ER25" s="749"/>
      <c r="ES25" s="749"/>
      <c r="ET25" s="749"/>
      <c r="EU25" s="749"/>
      <c r="EV25" s="749"/>
      <c r="EW25" s="749"/>
      <c r="EX25" s="749"/>
      <c r="EY25" s="749"/>
      <c r="EZ25" s="749"/>
      <c r="FA25" s="749"/>
      <c r="FB25" s="749"/>
      <c r="FC25" s="749"/>
      <c r="FD25" s="749"/>
      <c r="FE25" s="749"/>
      <c r="FF25" s="749"/>
      <c r="FG25" s="749"/>
      <c r="FH25" s="749"/>
      <c r="FI25" s="749"/>
      <c r="FJ25" s="749"/>
      <c r="FK25" s="750"/>
      <c r="FL25" s="750"/>
      <c r="FM25" s="750"/>
      <c r="FN25" s="750"/>
      <c r="FO25" s="750"/>
      <c r="FP25" s="867"/>
      <c r="FQ25" s="867"/>
      <c r="FR25" s="867"/>
      <c r="FS25" s="867"/>
      <c r="FT25" s="867"/>
      <c r="FU25" s="867"/>
      <c r="FV25" s="867"/>
      <c r="FW25" s="867"/>
      <c r="FX25" s="867"/>
      <c r="FY25" s="867"/>
      <c r="FZ25" s="867"/>
      <c r="GA25" s="867"/>
      <c r="GB25" s="867"/>
      <c r="GC25" s="867"/>
      <c r="GD25" s="867"/>
      <c r="GE25" s="867"/>
      <c r="GF25" s="867"/>
      <c r="GG25" s="867"/>
      <c r="GH25" s="867"/>
      <c r="GI25" s="867"/>
      <c r="GJ25" s="867"/>
      <c r="GK25" s="867"/>
      <c r="GL25" s="867"/>
      <c r="GM25" s="867"/>
      <c r="GN25" s="867"/>
      <c r="GO25" s="867"/>
      <c r="GP25" s="867"/>
      <c r="GQ25" s="867"/>
      <c r="GR25" s="867"/>
      <c r="GS25" s="867"/>
      <c r="GT25" s="867"/>
      <c r="GU25" s="867"/>
      <c r="GV25" s="867"/>
      <c r="GW25" s="867"/>
      <c r="GX25" s="867"/>
      <c r="GY25" s="867"/>
      <c r="GZ25" s="867"/>
      <c r="HA25" s="867"/>
      <c r="HB25" s="867"/>
      <c r="HC25" s="867"/>
      <c r="HD25" s="867"/>
      <c r="HE25" s="867"/>
      <c r="HF25" s="867"/>
      <c r="HG25" s="867"/>
      <c r="HH25" s="867"/>
      <c r="HI25" s="867"/>
      <c r="HJ25" s="867"/>
      <c r="HK25" s="867"/>
      <c r="HL25" s="867"/>
      <c r="HM25" s="867"/>
      <c r="HN25" s="867"/>
      <c r="HO25" s="867"/>
      <c r="HP25" s="867"/>
    </row>
    <row r="26" spans="1:224" s="488" customFormat="1" ht="28.5" customHeight="1" x14ac:dyDescent="0.2">
      <c r="A26" s="98">
        <v>218</v>
      </c>
      <c r="B26" s="864">
        <v>10</v>
      </c>
      <c r="C26" s="98"/>
      <c r="D26" s="98" t="str">
        <f t="shared" si="0"/>
        <v>Ông</v>
      </c>
      <c r="E26" s="162" t="s">
        <v>260</v>
      </c>
      <c r="F26" s="98" t="s">
        <v>63</v>
      </c>
      <c r="G26" s="437" t="s">
        <v>44</v>
      </c>
      <c r="H26" s="438" t="s">
        <v>53</v>
      </c>
      <c r="I26" s="439">
        <v>6</v>
      </c>
      <c r="J26" s="438" t="s">
        <v>53</v>
      </c>
      <c r="K26" s="440">
        <v>1962</v>
      </c>
      <c r="L26" s="441" t="s">
        <v>83</v>
      </c>
      <c r="M26" s="442" t="str">
        <f t="shared" si="1"/>
        <v>VC</v>
      </c>
      <c r="N26" s="443"/>
      <c r="O26" s="444" t="str">
        <f t="shared" si="2"/>
        <v>CVụ</v>
      </c>
      <c r="P26" s="445" t="s">
        <v>30</v>
      </c>
      <c r="Q26" s="446">
        <f>VLOOKUP(P26,'[2]- DLiêu Gốc -'!$C$2:$H$114,2,0)</f>
        <v>0.4</v>
      </c>
      <c r="R26" s="584" t="s">
        <v>185</v>
      </c>
      <c r="S26" s="448" t="s">
        <v>162</v>
      </c>
      <c r="T26" s="449" t="str">
        <f>VLOOKUP(Y26,'[2]- DLiêu Gốc -'!$C$2:$H$60,5,0)</f>
        <v>A1</v>
      </c>
      <c r="U26" s="450" t="str">
        <f>VLOOKUP(Y26,'[2]- DLiêu Gốc -'!$C$2:$H$60,6,0)</f>
        <v>- - -</v>
      </c>
      <c r="V26" s="727" t="s">
        <v>73</v>
      </c>
      <c r="W26" s="728" t="str">
        <f t="shared" si="3"/>
        <v>Giảng viên (hạng III)</v>
      </c>
      <c r="X26" s="729" t="str">
        <f t="shared" si="4"/>
        <v>V.07.01.03</v>
      </c>
      <c r="Y26" s="451" t="s">
        <v>77</v>
      </c>
      <c r="Z26" s="451" t="str">
        <f>VLOOKUP(Y26,'[2]- DLiêu Gốc -'!$C$1:$H$132,2,0)</f>
        <v>V.07.01.03</v>
      </c>
      <c r="AA26" s="268" t="str">
        <f t="shared" si="5"/>
        <v>Lương</v>
      </c>
      <c r="AB26" s="452">
        <v>5</v>
      </c>
      <c r="AC26" s="453" t="str">
        <f t="shared" si="6"/>
        <v>/</v>
      </c>
      <c r="AD26" s="454">
        <f t="shared" si="7"/>
        <v>9</v>
      </c>
      <c r="AE26" s="455">
        <f t="shared" si="8"/>
        <v>3.66</v>
      </c>
      <c r="AF26" s="456"/>
      <c r="AG26" s="456"/>
      <c r="AH26" s="457"/>
      <c r="AI26" s="458"/>
      <c r="AJ26" s="459"/>
      <c r="AK26" s="458"/>
      <c r="AL26" s="460"/>
      <c r="AM26" s="461"/>
      <c r="AN26" s="462"/>
      <c r="AO26" s="463">
        <f t="shared" si="9"/>
        <v>6</v>
      </c>
      <c r="AP26" s="464" t="str">
        <f t="shared" si="10"/>
        <v>/</v>
      </c>
      <c r="AQ26" s="465">
        <f t="shared" si="11"/>
        <v>9</v>
      </c>
      <c r="AR26" s="265">
        <f t="shared" si="12"/>
        <v>3.99</v>
      </c>
      <c r="AS26" s="466"/>
      <c r="AT26" s="467" t="s">
        <v>43</v>
      </c>
      <c r="AU26" s="468" t="s">
        <v>53</v>
      </c>
      <c r="AV26" s="469" t="s">
        <v>48</v>
      </c>
      <c r="AW26" s="468" t="s">
        <v>53</v>
      </c>
      <c r="AX26" s="470">
        <v>2016</v>
      </c>
      <c r="AY26" s="471"/>
      <c r="AZ26" s="472"/>
      <c r="BA26" s="266">
        <f t="shared" si="13"/>
        <v>3</v>
      </c>
      <c r="BB26" s="473">
        <f t="shared" si="14"/>
        <v>-24195</v>
      </c>
      <c r="BC26" s="267">
        <f>VLOOKUP(Y26,'[2]- DLiêu Gốc -'!$C$1:$F$60,3,0)</f>
        <v>2.34</v>
      </c>
      <c r="BD26" s="267">
        <f>VLOOKUP(Y26,'[2]- DLiêu Gốc -'!$C$1:$F$60,4,0)</f>
        <v>0.33</v>
      </c>
      <c r="BE26" s="474" t="str">
        <f t="shared" si="15"/>
        <v>PCTN</v>
      </c>
      <c r="BF26" s="475">
        <v>14</v>
      </c>
      <c r="BG26" s="476" t="s">
        <v>41</v>
      </c>
      <c r="BH26" s="477" t="s">
        <v>43</v>
      </c>
      <c r="BI26" s="478" t="s">
        <v>53</v>
      </c>
      <c r="BJ26" s="730">
        <v>5</v>
      </c>
      <c r="BK26" s="479" t="s">
        <v>53</v>
      </c>
      <c r="BL26" s="480">
        <v>2017</v>
      </c>
      <c r="BM26" s="481"/>
      <c r="BN26" s="482"/>
      <c r="BO26" s="483">
        <f t="shared" si="16"/>
        <v>15</v>
      </c>
      <c r="BP26" s="484" t="s">
        <v>41</v>
      </c>
      <c r="BQ26" s="485" t="s">
        <v>43</v>
      </c>
      <c r="BR26" s="468" t="s">
        <v>53</v>
      </c>
      <c r="BS26" s="486">
        <v>5</v>
      </c>
      <c r="BT26" s="487" t="s">
        <v>53</v>
      </c>
      <c r="BU26" s="51">
        <v>2018</v>
      </c>
      <c r="BV26" s="731"/>
      <c r="BW26" s="865">
        <v>5</v>
      </c>
      <c r="BX26" s="840">
        <f t="shared" si="17"/>
        <v>-24221</v>
      </c>
      <c r="BY26" s="474" t="str">
        <f t="shared" si="18"/>
        <v>- - -</v>
      </c>
      <c r="BZ26" s="732" t="str">
        <f t="shared" si="19"/>
        <v>Chánh Văn phòng Học viện, Trưởng Ban Tổ chức - Cán bộ, Trưởng Khoa Nhà nước - Pháp luật và Lý luận cơ sở</v>
      </c>
      <c r="CA26" s="3" t="str">
        <f t="shared" si="20"/>
        <v>A</v>
      </c>
      <c r="CB26" s="733" t="str">
        <f t="shared" si="21"/>
        <v>=&gt; s</v>
      </c>
      <c r="CC26" s="268">
        <f t="shared" si="22"/>
        <v>24219</v>
      </c>
      <c r="CD26" s="98" t="str">
        <f t="shared" si="23"/>
        <v>S</v>
      </c>
      <c r="CE26" s="98">
        <v>2010</v>
      </c>
      <c r="CF26" s="866" t="s">
        <v>75</v>
      </c>
      <c r="CG26" s="98"/>
      <c r="CH26" s="734"/>
      <c r="CI26" s="98" t="str">
        <f t="shared" si="24"/>
        <v>Cùg Ng</v>
      </c>
      <c r="CJ26" s="269" t="str">
        <f t="shared" si="25"/>
        <v>- - -</v>
      </c>
      <c r="CK26" s="735"/>
      <c r="CL26" s="736"/>
      <c r="CM26" s="735"/>
      <c r="CN26" s="737"/>
      <c r="CO26" s="269" t="str">
        <f t="shared" si="26"/>
        <v>- - -</v>
      </c>
      <c r="CP26" s="735"/>
      <c r="CQ26" s="736"/>
      <c r="CR26" s="735"/>
      <c r="CS26" s="737"/>
      <c r="CT26" s="738" t="str">
        <f t="shared" si="27"/>
        <v>---</v>
      </c>
      <c r="CU26" s="739" t="str">
        <f t="shared" si="28"/>
        <v>/-/ /-/</v>
      </c>
      <c r="CV26" s="740">
        <f t="shared" si="29"/>
        <v>7</v>
      </c>
      <c r="CW26" s="741">
        <f t="shared" si="30"/>
        <v>2022</v>
      </c>
      <c r="CX26" s="740">
        <f t="shared" si="31"/>
        <v>4</v>
      </c>
      <c r="CY26" s="741">
        <f t="shared" si="32"/>
        <v>2022</v>
      </c>
      <c r="CZ26" s="740">
        <f t="shared" si="33"/>
        <v>1</v>
      </c>
      <c r="DA26" s="741">
        <f t="shared" si="34"/>
        <v>2022</v>
      </c>
      <c r="DB26" s="742" t="str">
        <f t="shared" si="35"/>
        <v>- - -</v>
      </c>
      <c r="DC26" s="743" t="str">
        <f t="shared" si="36"/>
        <v>. .</v>
      </c>
      <c r="DD26" s="743"/>
      <c r="DE26" s="268">
        <f t="shared" si="37"/>
        <v>720</v>
      </c>
      <c r="DF26" s="268">
        <f t="shared" si="38"/>
        <v>-23538</v>
      </c>
      <c r="DG26" s="268">
        <f t="shared" si="39"/>
        <v>-1962</v>
      </c>
      <c r="DH26" s="268" t="str">
        <f t="shared" si="40"/>
        <v>Nam dưới 35</v>
      </c>
      <c r="DI26" s="268"/>
      <c r="DJ26" s="268"/>
      <c r="DK26" s="474" t="str">
        <f t="shared" si="41"/>
        <v>Đến 30</v>
      </c>
      <c r="DL26" s="735" t="str">
        <f t="shared" si="42"/>
        <v>TD</v>
      </c>
      <c r="DM26" s="744">
        <v>2009</v>
      </c>
      <c r="DN26" s="98"/>
      <c r="DO26" s="745"/>
      <c r="DP26" s="744"/>
      <c r="DQ26" s="737"/>
      <c r="DR26" s="746"/>
      <c r="DS26" s="279"/>
      <c r="DT26" s="270"/>
      <c r="DU26" s="51"/>
      <c r="DV26" s="447" t="s">
        <v>185</v>
      </c>
      <c r="DW26" s="467" t="s">
        <v>187</v>
      </c>
      <c r="DX26" s="469" t="s">
        <v>188</v>
      </c>
      <c r="DY26" s="469" t="s">
        <v>43</v>
      </c>
      <c r="DZ26" s="469" t="s">
        <v>53</v>
      </c>
      <c r="EA26" s="747" t="s">
        <v>48</v>
      </c>
      <c r="EB26" s="469" t="s">
        <v>53</v>
      </c>
      <c r="EC26" s="748">
        <v>2013</v>
      </c>
      <c r="ED26" s="467">
        <f t="shared" si="43"/>
        <v>0</v>
      </c>
      <c r="EE26" s="469" t="str">
        <f t="shared" si="44"/>
        <v>- - -</v>
      </c>
      <c r="EF26" s="469" t="s">
        <v>43</v>
      </c>
      <c r="EG26" s="469" t="s">
        <v>53</v>
      </c>
      <c r="EH26" s="747" t="s">
        <v>48</v>
      </c>
      <c r="EI26" s="98" t="s">
        <v>53</v>
      </c>
      <c r="EJ26" s="269">
        <v>2013</v>
      </c>
      <c r="EK26" s="271"/>
      <c r="EL26" s="51" t="str">
        <f t="shared" si="45"/>
        <v>- - -</v>
      </c>
      <c r="EM26" s="749" t="str">
        <f t="shared" si="46"/>
        <v>---</v>
      </c>
      <c r="EN26" s="749"/>
      <c r="EO26" s="749"/>
      <c r="EP26" s="749"/>
      <c r="EQ26" s="749"/>
      <c r="ER26" s="749"/>
      <c r="ES26" s="749"/>
      <c r="ET26" s="749"/>
      <c r="EU26" s="749"/>
      <c r="EV26" s="749"/>
      <c r="EW26" s="749"/>
      <c r="EX26" s="749"/>
      <c r="EY26" s="749"/>
      <c r="EZ26" s="749"/>
      <c r="FA26" s="749"/>
      <c r="FB26" s="749"/>
      <c r="FC26" s="749"/>
      <c r="FD26" s="749"/>
      <c r="FE26" s="749"/>
      <c r="FF26" s="749"/>
      <c r="FG26" s="749"/>
      <c r="FH26" s="749"/>
      <c r="FI26" s="749"/>
      <c r="FJ26" s="749"/>
      <c r="FK26" s="750"/>
      <c r="FL26" s="750"/>
      <c r="FM26" s="750"/>
      <c r="FN26" s="750"/>
      <c r="FO26" s="750"/>
      <c r="FP26" s="867"/>
      <c r="FQ26" s="867"/>
      <c r="FR26" s="867"/>
      <c r="FS26" s="867"/>
      <c r="FT26" s="867"/>
      <c r="FU26" s="867"/>
      <c r="FV26" s="867"/>
      <c r="FW26" s="867"/>
      <c r="FX26" s="867"/>
      <c r="FY26" s="867"/>
      <c r="FZ26" s="867"/>
      <c r="GA26" s="867"/>
      <c r="GB26" s="867"/>
      <c r="GC26" s="867"/>
      <c r="GD26" s="867"/>
      <c r="GE26" s="867"/>
      <c r="GF26" s="867"/>
      <c r="GG26" s="867"/>
      <c r="GH26" s="867"/>
      <c r="GI26" s="867"/>
      <c r="GJ26" s="867"/>
      <c r="GK26" s="867"/>
      <c r="GL26" s="867"/>
      <c r="GM26" s="867"/>
      <c r="GN26" s="867"/>
      <c r="GO26" s="867"/>
      <c r="GP26" s="867"/>
      <c r="GQ26" s="867"/>
      <c r="GR26" s="867"/>
      <c r="GS26" s="867"/>
      <c r="GT26" s="867"/>
      <c r="GU26" s="867"/>
      <c r="GV26" s="867"/>
      <c r="GW26" s="867"/>
      <c r="GX26" s="867"/>
      <c r="GY26" s="867"/>
      <c r="GZ26" s="867"/>
      <c r="HA26" s="867"/>
      <c r="HB26" s="867"/>
      <c r="HC26" s="867"/>
      <c r="HD26" s="867"/>
      <c r="HE26" s="867"/>
      <c r="HF26" s="867"/>
      <c r="HG26" s="867"/>
      <c r="HH26" s="867"/>
      <c r="HI26" s="867"/>
      <c r="HJ26" s="867"/>
      <c r="HK26" s="867"/>
      <c r="HL26" s="867"/>
      <c r="HM26" s="867"/>
      <c r="HN26" s="867"/>
      <c r="HO26" s="867"/>
      <c r="HP26" s="867"/>
    </row>
    <row r="27" spans="1:224" s="488" customFormat="1" ht="27" customHeight="1" x14ac:dyDescent="0.2">
      <c r="A27" s="98">
        <v>229</v>
      </c>
      <c r="B27" s="864">
        <v>11</v>
      </c>
      <c r="C27" s="98"/>
      <c r="D27" s="98" t="str">
        <f t="shared" si="0"/>
        <v>Bà</v>
      </c>
      <c r="E27" s="162" t="s">
        <v>261</v>
      </c>
      <c r="F27" s="98" t="s">
        <v>64</v>
      </c>
      <c r="G27" s="437" t="s">
        <v>262</v>
      </c>
      <c r="H27" s="438" t="s">
        <v>53</v>
      </c>
      <c r="I27" s="439" t="s">
        <v>48</v>
      </c>
      <c r="J27" s="438" t="s">
        <v>53</v>
      </c>
      <c r="K27" s="440">
        <v>1976</v>
      </c>
      <c r="L27" s="441" t="s">
        <v>83</v>
      </c>
      <c r="M27" s="442" t="str">
        <f t="shared" si="1"/>
        <v>VC</v>
      </c>
      <c r="N27" s="443"/>
      <c r="O27" s="444" t="str">
        <f t="shared" si="2"/>
        <v>CVụ</v>
      </c>
      <c r="P27" s="445" t="s">
        <v>30</v>
      </c>
      <c r="Q27" s="446">
        <f>VLOOKUP(P27,'[2]- DLiêu Gốc -'!$C$2:$H$114,2,0)</f>
        <v>0.4</v>
      </c>
      <c r="R27" s="584" t="s">
        <v>263</v>
      </c>
      <c r="S27" s="448" t="s">
        <v>162</v>
      </c>
      <c r="T27" s="449" t="str">
        <f>VLOOKUP(Y27,'[2]- DLiêu Gốc -'!$C$2:$H$60,5,0)</f>
        <v>A1</v>
      </c>
      <c r="U27" s="450" t="str">
        <f>VLOOKUP(Y27,'[2]- DLiêu Gốc -'!$C$2:$H$60,6,0)</f>
        <v>- - -</v>
      </c>
      <c r="V27" s="727" t="s">
        <v>73</v>
      </c>
      <c r="W27" s="728" t="str">
        <f t="shared" si="3"/>
        <v>Giảng viên (hạng III)</v>
      </c>
      <c r="X27" s="729" t="str">
        <f t="shared" si="4"/>
        <v>V.07.01.03</v>
      </c>
      <c r="Y27" s="451" t="s">
        <v>77</v>
      </c>
      <c r="Z27" s="451" t="str">
        <f>VLOOKUP(Y27,'[2]- DLiêu Gốc -'!$C$1:$H$132,2,0)</f>
        <v>V.07.01.03</v>
      </c>
      <c r="AA27" s="268" t="str">
        <f t="shared" si="5"/>
        <v>Lương</v>
      </c>
      <c r="AB27" s="452">
        <v>5</v>
      </c>
      <c r="AC27" s="453" t="str">
        <f t="shared" si="6"/>
        <v>/</v>
      </c>
      <c r="AD27" s="454">
        <f t="shared" si="7"/>
        <v>9</v>
      </c>
      <c r="AE27" s="455">
        <f t="shared" si="8"/>
        <v>3.66</v>
      </c>
      <c r="AF27" s="456"/>
      <c r="AG27" s="456"/>
      <c r="AH27" s="457"/>
      <c r="AI27" s="458"/>
      <c r="AJ27" s="459"/>
      <c r="AK27" s="458"/>
      <c r="AL27" s="460"/>
      <c r="AM27" s="461"/>
      <c r="AN27" s="462"/>
      <c r="AO27" s="463">
        <f t="shared" si="9"/>
        <v>6</v>
      </c>
      <c r="AP27" s="464" t="str">
        <f t="shared" si="10"/>
        <v>/</v>
      </c>
      <c r="AQ27" s="465">
        <f t="shared" si="11"/>
        <v>9</v>
      </c>
      <c r="AR27" s="265">
        <f t="shared" si="12"/>
        <v>3.99</v>
      </c>
      <c r="AS27" s="466"/>
      <c r="AT27" s="467" t="s">
        <v>43</v>
      </c>
      <c r="AU27" s="468" t="s">
        <v>53</v>
      </c>
      <c r="AV27" s="469">
        <v>5</v>
      </c>
      <c r="AW27" s="468" t="s">
        <v>53</v>
      </c>
      <c r="AX27" s="470">
        <v>2017</v>
      </c>
      <c r="AY27" s="471"/>
      <c r="AZ27" s="472"/>
      <c r="BA27" s="266">
        <f t="shared" si="13"/>
        <v>3</v>
      </c>
      <c r="BB27" s="473">
        <f t="shared" si="14"/>
        <v>-24209</v>
      </c>
      <c r="BC27" s="267">
        <f>VLOOKUP(Y27,'[2]- DLiêu Gốc -'!$C$1:$F$60,3,0)</f>
        <v>2.34</v>
      </c>
      <c r="BD27" s="267">
        <f>VLOOKUP(Y27,'[2]- DLiêu Gốc -'!$C$1:$F$60,4,0)</f>
        <v>0.33</v>
      </c>
      <c r="BE27" s="474" t="str">
        <f t="shared" si="15"/>
        <v>PCTN</v>
      </c>
      <c r="BF27" s="475">
        <v>14</v>
      </c>
      <c r="BG27" s="476" t="s">
        <v>41</v>
      </c>
      <c r="BH27" s="477" t="s">
        <v>43</v>
      </c>
      <c r="BI27" s="478" t="s">
        <v>53</v>
      </c>
      <c r="BJ27" s="730">
        <v>5</v>
      </c>
      <c r="BK27" s="479" t="s">
        <v>53</v>
      </c>
      <c r="BL27" s="480">
        <v>2017</v>
      </c>
      <c r="BM27" s="481"/>
      <c r="BN27" s="482"/>
      <c r="BO27" s="483">
        <f t="shared" si="16"/>
        <v>15</v>
      </c>
      <c r="BP27" s="484" t="s">
        <v>41</v>
      </c>
      <c r="BQ27" s="485" t="s">
        <v>43</v>
      </c>
      <c r="BR27" s="468" t="s">
        <v>53</v>
      </c>
      <c r="BS27" s="486">
        <v>5</v>
      </c>
      <c r="BT27" s="487" t="s">
        <v>53</v>
      </c>
      <c r="BU27" s="51">
        <v>2018</v>
      </c>
      <c r="BV27" s="731"/>
      <c r="BW27" s="865">
        <v>5</v>
      </c>
      <c r="BX27" s="840">
        <f t="shared" si="17"/>
        <v>-24221</v>
      </c>
      <c r="BY27" s="474" t="str">
        <f t="shared" si="18"/>
        <v>- - -</v>
      </c>
      <c r="BZ27" s="732" t="str">
        <f t="shared" si="19"/>
        <v>Chánh Văn phòng Học viện, Trưởng Ban Tổ chức - Cán bộ, Trưởng Khoa Nhà nước - Pháp luật và Lý luận cơ sở</v>
      </c>
      <c r="CA27" s="3" t="str">
        <f t="shared" si="20"/>
        <v>A</v>
      </c>
      <c r="CB27" s="733" t="str">
        <f t="shared" si="21"/>
        <v>=&gt; s</v>
      </c>
      <c r="CC27" s="268">
        <f t="shared" si="22"/>
        <v>24233</v>
      </c>
      <c r="CD27" s="98" t="str">
        <f t="shared" si="23"/>
        <v>S</v>
      </c>
      <c r="CE27" s="98">
        <v>2013</v>
      </c>
      <c r="CF27" s="866" t="s">
        <v>75</v>
      </c>
      <c r="CG27" s="98"/>
      <c r="CH27" s="734"/>
      <c r="CI27" s="98" t="str">
        <f t="shared" si="24"/>
        <v>Cùg Ng</v>
      </c>
      <c r="CJ27" s="269" t="str">
        <f t="shared" si="25"/>
        <v>- - -</v>
      </c>
      <c r="CK27" s="735"/>
      <c r="CL27" s="736"/>
      <c r="CM27" s="735"/>
      <c r="CN27" s="737"/>
      <c r="CO27" s="269" t="str">
        <f t="shared" si="26"/>
        <v>- - -</v>
      </c>
      <c r="CP27" s="735"/>
      <c r="CQ27" s="736"/>
      <c r="CR27" s="735"/>
      <c r="CS27" s="737"/>
      <c r="CT27" s="738" t="str">
        <f t="shared" si="27"/>
        <v>---</v>
      </c>
      <c r="CU27" s="739" t="str">
        <f t="shared" si="28"/>
        <v>/-/ /-/</v>
      </c>
      <c r="CV27" s="740">
        <f t="shared" si="29"/>
        <v>4</v>
      </c>
      <c r="CW27" s="741">
        <f t="shared" si="30"/>
        <v>2031</v>
      </c>
      <c r="CX27" s="740">
        <f t="shared" si="31"/>
        <v>1</v>
      </c>
      <c r="CY27" s="741">
        <f t="shared" si="32"/>
        <v>2031</v>
      </c>
      <c r="CZ27" s="740">
        <f t="shared" si="33"/>
        <v>10</v>
      </c>
      <c r="DA27" s="741">
        <f t="shared" si="34"/>
        <v>2030</v>
      </c>
      <c r="DB27" s="742" t="str">
        <f t="shared" si="35"/>
        <v>- - -</v>
      </c>
      <c r="DC27" s="743" t="str">
        <f t="shared" si="36"/>
        <v>. .</v>
      </c>
      <c r="DD27" s="743"/>
      <c r="DE27" s="268">
        <f t="shared" si="37"/>
        <v>660</v>
      </c>
      <c r="DF27" s="268">
        <f t="shared" si="38"/>
        <v>-23703</v>
      </c>
      <c r="DG27" s="268">
        <f t="shared" si="39"/>
        <v>-1976</v>
      </c>
      <c r="DH27" s="268" t="str">
        <f t="shared" si="40"/>
        <v>Nữ dưới 30</v>
      </c>
      <c r="DI27" s="268"/>
      <c r="DJ27" s="268"/>
      <c r="DK27" s="474" t="str">
        <f t="shared" si="41"/>
        <v>Đến 30</v>
      </c>
      <c r="DL27" s="735" t="str">
        <f t="shared" si="42"/>
        <v>TD</v>
      </c>
      <c r="DM27" s="744">
        <v>2009</v>
      </c>
      <c r="DN27" s="98"/>
      <c r="DO27" s="745"/>
      <c r="DP27" s="744"/>
      <c r="DQ27" s="737"/>
      <c r="DR27" s="746"/>
      <c r="DS27" s="279"/>
      <c r="DT27" s="270"/>
      <c r="DU27" s="51"/>
      <c r="DV27" s="447" t="s">
        <v>263</v>
      </c>
      <c r="DW27" s="467" t="s">
        <v>187</v>
      </c>
      <c r="DX27" s="469" t="s">
        <v>263</v>
      </c>
      <c r="DY27" s="469" t="s">
        <v>43</v>
      </c>
      <c r="DZ27" s="469" t="s">
        <v>53</v>
      </c>
      <c r="EA27" s="747">
        <v>5</v>
      </c>
      <c r="EB27" s="469" t="s">
        <v>53</v>
      </c>
      <c r="EC27" s="748">
        <v>2014</v>
      </c>
      <c r="ED27" s="467">
        <f t="shared" si="43"/>
        <v>0</v>
      </c>
      <c r="EE27" s="469" t="str">
        <f t="shared" si="44"/>
        <v>- - -</v>
      </c>
      <c r="EF27" s="469" t="s">
        <v>43</v>
      </c>
      <c r="EG27" s="469" t="s">
        <v>53</v>
      </c>
      <c r="EH27" s="747">
        <v>5</v>
      </c>
      <c r="EI27" s="98" t="s">
        <v>53</v>
      </c>
      <c r="EJ27" s="269">
        <v>2014</v>
      </c>
      <c r="EK27" s="271"/>
      <c r="EL27" s="51" t="str">
        <f t="shared" si="45"/>
        <v>- - -</v>
      </c>
      <c r="EM27" s="749" t="str">
        <f t="shared" si="46"/>
        <v>---</v>
      </c>
      <c r="EN27" s="749"/>
      <c r="EO27" s="749"/>
      <c r="EP27" s="749"/>
      <c r="EQ27" s="749"/>
      <c r="ER27" s="749"/>
      <c r="ES27" s="749"/>
      <c r="ET27" s="749"/>
      <c r="EU27" s="749"/>
      <c r="EV27" s="749"/>
      <c r="EW27" s="749"/>
      <c r="EX27" s="749"/>
      <c r="EY27" s="749"/>
      <c r="EZ27" s="749"/>
      <c r="FA27" s="749"/>
      <c r="FB27" s="749"/>
      <c r="FC27" s="749"/>
      <c r="FD27" s="749"/>
      <c r="FE27" s="749"/>
      <c r="FF27" s="749"/>
      <c r="FG27" s="749"/>
      <c r="FH27" s="749"/>
      <c r="FI27" s="749"/>
      <c r="FJ27" s="749"/>
      <c r="FK27" s="750"/>
      <c r="FL27" s="750"/>
      <c r="FM27" s="750"/>
      <c r="FN27" s="750"/>
      <c r="FO27" s="750"/>
      <c r="FP27" s="867"/>
      <c r="FQ27" s="867"/>
      <c r="FR27" s="867"/>
      <c r="FS27" s="867"/>
      <c r="FT27" s="867"/>
      <c r="FU27" s="867"/>
      <c r="FV27" s="867"/>
      <c r="FW27" s="867"/>
      <c r="FX27" s="867"/>
      <c r="FY27" s="867"/>
      <c r="FZ27" s="867"/>
      <c r="GA27" s="867"/>
      <c r="GB27" s="867"/>
      <c r="GC27" s="867"/>
      <c r="GD27" s="867"/>
      <c r="GE27" s="867"/>
      <c r="GF27" s="867"/>
      <c r="GG27" s="867"/>
      <c r="GH27" s="867"/>
      <c r="GI27" s="867"/>
      <c r="GJ27" s="867"/>
      <c r="GK27" s="867"/>
      <c r="GL27" s="867"/>
      <c r="GM27" s="867"/>
      <c r="GN27" s="867"/>
      <c r="GO27" s="867"/>
      <c r="GP27" s="867"/>
      <c r="GQ27" s="867"/>
      <c r="GR27" s="867"/>
      <c r="GS27" s="867"/>
      <c r="GT27" s="867"/>
      <c r="GU27" s="867"/>
      <c r="GV27" s="867"/>
      <c r="GW27" s="867"/>
      <c r="GX27" s="867"/>
      <c r="GY27" s="867"/>
      <c r="GZ27" s="867"/>
      <c r="HA27" s="867"/>
      <c r="HB27" s="867"/>
      <c r="HC27" s="867"/>
      <c r="HD27" s="867"/>
      <c r="HE27" s="867"/>
      <c r="HF27" s="867"/>
      <c r="HG27" s="867"/>
      <c r="HH27" s="867"/>
      <c r="HI27" s="867"/>
      <c r="HJ27" s="867"/>
      <c r="HK27" s="867"/>
      <c r="HL27" s="867"/>
      <c r="HM27" s="867"/>
      <c r="HN27" s="867"/>
      <c r="HO27" s="867"/>
      <c r="HP27" s="867"/>
    </row>
    <row r="28" spans="1:224" s="488" customFormat="1" ht="27.75" customHeight="1" x14ac:dyDescent="0.2">
      <c r="A28" s="98">
        <v>253</v>
      </c>
      <c r="B28" s="864">
        <v>12</v>
      </c>
      <c r="C28" s="98"/>
      <c r="D28" s="98" t="str">
        <f t="shared" si="0"/>
        <v>Bà</v>
      </c>
      <c r="E28" s="162" t="s">
        <v>264</v>
      </c>
      <c r="F28" s="98" t="s">
        <v>64</v>
      </c>
      <c r="G28" s="437" t="s">
        <v>148</v>
      </c>
      <c r="H28" s="438" t="s">
        <v>53</v>
      </c>
      <c r="I28" s="439">
        <v>6</v>
      </c>
      <c r="J28" s="438" t="s">
        <v>53</v>
      </c>
      <c r="K28" s="440">
        <v>1977</v>
      </c>
      <c r="L28" s="441" t="s">
        <v>83</v>
      </c>
      <c r="M28" s="442" t="str">
        <f t="shared" si="1"/>
        <v>VC</v>
      </c>
      <c r="N28" s="443"/>
      <c r="O28" s="444" t="str">
        <f t="shared" si="2"/>
        <v>CVụ</v>
      </c>
      <c r="P28" s="445" t="s">
        <v>30</v>
      </c>
      <c r="Q28" s="446">
        <f>VLOOKUP(P28,'[2]- DLiêu Gốc -'!$C$2:$H$114,2,0)</f>
        <v>0.4</v>
      </c>
      <c r="R28" s="584" t="s">
        <v>265</v>
      </c>
      <c r="S28" s="448" t="s">
        <v>164</v>
      </c>
      <c r="T28" s="449" t="str">
        <f>VLOOKUP(Y28,'[2]- DLiêu Gốc -'!$C$2:$H$60,5,0)</f>
        <v>A1</v>
      </c>
      <c r="U28" s="450" t="str">
        <f>VLOOKUP(Y28,'[2]- DLiêu Gốc -'!$C$2:$H$60,6,0)</f>
        <v>- - -</v>
      </c>
      <c r="V28" s="727" t="s">
        <v>73</v>
      </c>
      <c r="W28" s="728" t="str">
        <f t="shared" si="3"/>
        <v>Giảng viên (hạng III)</v>
      </c>
      <c r="X28" s="729" t="str">
        <f t="shared" si="4"/>
        <v>V.07.01.03</v>
      </c>
      <c r="Y28" s="451" t="s">
        <v>77</v>
      </c>
      <c r="Z28" s="451" t="str">
        <f>VLOOKUP(Y28,'[2]- DLiêu Gốc -'!$C$1:$H$132,2,0)</f>
        <v>V.07.01.03</v>
      </c>
      <c r="AA28" s="268" t="str">
        <f t="shared" si="5"/>
        <v>Lương</v>
      </c>
      <c r="AB28" s="452">
        <v>5</v>
      </c>
      <c r="AC28" s="453" t="str">
        <f t="shared" si="6"/>
        <v>/</v>
      </c>
      <c r="AD28" s="454">
        <f t="shared" si="7"/>
        <v>9</v>
      </c>
      <c r="AE28" s="455">
        <f t="shared" si="8"/>
        <v>3.66</v>
      </c>
      <c r="AF28" s="456"/>
      <c r="AG28" s="456"/>
      <c r="AH28" s="457"/>
      <c r="AI28" s="458"/>
      <c r="AJ28" s="459"/>
      <c r="AK28" s="458"/>
      <c r="AL28" s="460"/>
      <c r="AM28" s="461"/>
      <c r="AN28" s="462"/>
      <c r="AO28" s="463">
        <f t="shared" si="9"/>
        <v>6</v>
      </c>
      <c r="AP28" s="464" t="str">
        <f t="shared" si="10"/>
        <v>/</v>
      </c>
      <c r="AQ28" s="465">
        <f t="shared" si="11"/>
        <v>9</v>
      </c>
      <c r="AR28" s="265">
        <f t="shared" si="12"/>
        <v>3.99</v>
      </c>
      <c r="AS28" s="466"/>
      <c r="AT28" s="467" t="s">
        <v>43</v>
      </c>
      <c r="AU28" s="468" t="s">
        <v>53</v>
      </c>
      <c r="AV28" s="469" t="s">
        <v>58</v>
      </c>
      <c r="AW28" s="468" t="s">
        <v>53</v>
      </c>
      <c r="AX28" s="470">
        <v>2016</v>
      </c>
      <c r="AY28" s="471"/>
      <c r="AZ28" s="472"/>
      <c r="BA28" s="266">
        <f t="shared" si="13"/>
        <v>3</v>
      </c>
      <c r="BB28" s="473">
        <f t="shared" si="14"/>
        <v>-24203</v>
      </c>
      <c r="BC28" s="267">
        <f>VLOOKUP(Y28,'[2]- DLiêu Gốc -'!$C$1:$F$60,3,0)</f>
        <v>2.34</v>
      </c>
      <c r="BD28" s="267">
        <f>VLOOKUP(Y28,'[2]- DLiêu Gốc -'!$C$1:$F$60,4,0)</f>
        <v>0.33</v>
      </c>
      <c r="BE28" s="474" t="str">
        <f t="shared" si="15"/>
        <v>PCTN</v>
      </c>
      <c r="BF28" s="475">
        <v>14</v>
      </c>
      <c r="BG28" s="476" t="s">
        <v>41</v>
      </c>
      <c r="BH28" s="477" t="s">
        <v>43</v>
      </c>
      <c r="BI28" s="478" t="s">
        <v>53</v>
      </c>
      <c r="BJ28" s="730">
        <v>5</v>
      </c>
      <c r="BK28" s="479" t="s">
        <v>53</v>
      </c>
      <c r="BL28" s="480">
        <v>2017</v>
      </c>
      <c r="BM28" s="481"/>
      <c r="BN28" s="482"/>
      <c r="BO28" s="483">
        <f t="shared" si="16"/>
        <v>15</v>
      </c>
      <c r="BP28" s="484" t="s">
        <v>41</v>
      </c>
      <c r="BQ28" s="485" t="s">
        <v>43</v>
      </c>
      <c r="BR28" s="468" t="s">
        <v>53</v>
      </c>
      <c r="BS28" s="486">
        <v>5</v>
      </c>
      <c r="BT28" s="487" t="s">
        <v>53</v>
      </c>
      <c r="BU28" s="51">
        <v>2018</v>
      </c>
      <c r="BV28" s="731"/>
      <c r="BW28" s="865">
        <v>5</v>
      </c>
      <c r="BX28" s="840">
        <f t="shared" si="17"/>
        <v>-24221</v>
      </c>
      <c r="BY28" s="474" t="str">
        <f t="shared" si="18"/>
        <v>- - -</v>
      </c>
      <c r="BZ28" s="732" t="str">
        <f t="shared" si="19"/>
        <v>Chánh Văn phòng Học viện, Trưởng Ban Tổ chức - Cán bộ, Trưởng Khoa Quản lý nhà nước về Kinh tế và Tài chính công</v>
      </c>
      <c r="CA28" s="3" t="str">
        <f t="shared" si="20"/>
        <v>A</v>
      </c>
      <c r="CB28" s="733" t="str">
        <f t="shared" si="21"/>
        <v>=&gt; s</v>
      </c>
      <c r="CC28" s="268">
        <f t="shared" si="22"/>
        <v>24227</v>
      </c>
      <c r="CD28" s="98" t="str">
        <f t="shared" si="23"/>
        <v>S</v>
      </c>
      <c r="CE28" s="98">
        <v>2010</v>
      </c>
      <c r="CF28" s="866" t="s">
        <v>75</v>
      </c>
      <c r="CG28" s="98"/>
      <c r="CH28" s="734"/>
      <c r="CI28" s="98" t="str">
        <f t="shared" si="24"/>
        <v>Cùg Ng</v>
      </c>
      <c r="CJ28" s="269" t="str">
        <f t="shared" si="25"/>
        <v>- - -</v>
      </c>
      <c r="CK28" s="735"/>
      <c r="CL28" s="736"/>
      <c r="CM28" s="735"/>
      <c r="CN28" s="737"/>
      <c r="CO28" s="269" t="str">
        <f t="shared" si="26"/>
        <v>- - -</v>
      </c>
      <c r="CP28" s="735"/>
      <c r="CQ28" s="736"/>
      <c r="CR28" s="735"/>
      <c r="CS28" s="737"/>
      <c r="CT28" s="738" t="str">
        <f t="shared" si="27"/>
        <v>---</v>
      </c>
      <c r="CU28" s="739" t="str">
        <f t="shared" si="28"/>
        <v>/-/ /-/</v>
      </c>
      <c r="CV28" s="740">
        <f t="shared" si="29"/>
        <v>7</v>
      </c>
      <c r="CW28" s="741">
        <f t="shared" si="30"/>
        <v>2032</v>
      </c>
      <c r="CX28" s="740">
        <f t="shared" si="31"/>
        <v>4</v>
      </c>
      <c r="CY28" s="741">
        <f t="shared" si="32"/>
        <v>2032</v>
      </c>
      <c r="CZ28" s="740">
        <f t="shared" si="33"/>
        <v>1</v>
      </c>
      <c r="DA28" s="741">
        <f t="shared" si="34"/>
        <v>2032</v>
      </c>
      <c r="DB28" s="742" t="str">
        <f t="shared" si="35"/>
        <v>- - -</v>
      </c>
      <c r="DC28" s="743" t="str">
        <f t="shared" si="36"/>
        <v>. .</v>
      </c>
      <c r="DD28" s="743"/>
      <c r="DE28" s="268">
        <f t="shared" si="37"/>
        <v>660</v>
      </c>
      <c r="DF28" s="268">
        <f t="shared" si="38"/>
        <v>-23718</v>
      </c>
      <c r="DG28" s="268">
        <f t="shared" si="39"/>
        <v>-1977</v>
      </c>
      <c r="DH28" s="268" t="str">
        <f t="shared" si="40"/>
        <v>Nữ dưới 30</v>
      </c>
      <c r="DI28" s="268"/>
      <c r="DJ28" s="268"/>
      <c r="DK28" s="474" t="str">
        <f t="shared" si="41"/>
        <v>Đến 30</v>
      </c>
      <c r="DL28" s="735" t="str">
        <f t="shared" si="42"/>
        <v>TD</v>
      </c>
      <c r="DM28" s="744">
        <v>2008</v>
      </c>
      <c r="DN28" s="98"/>
      <c r="DO28" s="745"/>
      <c r="DP28" s="744"/>
      <c r="DQ28" s="737"/>
      <c r="DR28" s="746"/>
      <c r="DS28" s="279"/>
      <c r="DT28" s="270"/>
      <c r="DU28" s="51"/>
      <c r="DV28" s="447" t="s">
        <v>265</v>
      </c>
      <c r="DW28" s="467" t="s">
        <v>192</v>
      </c>
      <c r="DX28" s="469" t="s">
        <v>265</v>
      </c>
      <c r="DY28" s="469" t="s">
        <v>43</v>
      </c>
      <c r="DZ28" s="469" t="s">
        <v>53</v>
      </c>
      <c r="EA28" s="747" t="s">
        <v>58</v>
      </c>
      <c r="EB28" s="469" t="s">
        <v>53</v>
      </c>
      <c r="EC28" s="748">
        <v>2013</v>
      </c>
      <c r="ED28" s="467">
        <f t="shared" si="43"/>
        <v>0</v>
      </c>
      <c r="EE28" s="469" t="str">
        <f t="shared" si="44"/>
        <v>- - -</v>
      </c>
      <c r="EF28" s="469" t="s">
        <v>43</v>
      </c>
      <c r="EG28" s="469" t="s">
        <v>53</v>
      </c>
      <c r="EH28" s="747" t="s">
        <v>58</v>
      </c>
      <c r="EI28" s="98" t="s">
        <v>53</v>
      </c>
      <c r="EJ28" s="269">
        <v>2013</v>
      </c>
      <c r="EK28" s="271"/>
      <c r="EL28" s="51" t="str">
        <f t="shared" si="45"/>
        <v>- - -</v>
      </c>
      <c r="EM28" s="749" t="str">
        <f t="shared" si="46"/>
        <v>---</v>
      </c>
      <c r="EN28" s="749"/>
      <c r="EO28" s="749"/>
      <c r="EP28" s="749"/>
      <c r="EQ28" s="749"/>
      <c r="ER28" s="749"/>
      <c r="ES28" s="749"/>
      <c r="ET28" s="749"/>
      <c r="EU28" s="749"/>
      <c r="EV28" s="749"/>
      <c r="EW28" s="749"/>
      <c r="EX28" s="749"/>
      <c r="EY28" s="749"/>
      <c r="EZ28" s="749"/>
      <c r="FA28" s="749"/>
      <c r="FB28" s="749"/>
      <c r="FC28" s="749"/>
      <c r="FD28" s="749"/>
      <c r="FE28" s="749"/>
      <c r="FF28" s="749"/>
      <c r="FG28" s="749"/>
      <c r="FH28" s="749"/>
      <c r="FI28" s="749"/>
      <c r="FJ28" s="749"/>
      <c r="FK28" s="750"/>
      <c r="FL28" s="750"/>
      <c r="FM28" s="750"/>
      <c r="FN28" s="750"/>
      <c r="FO28" s="750"/>
      <c r="FP28" s="867"/>
      <c r="FQ28" s="867"/>
      <c r="FR28" s="867"/>
      <c r="FS28" s="867"/>
      <c r="FT28" s="867"/>
      <c r="FU28" s="867"/>
      <c r="FV28" s="867"/>
      <c r="FW28" s="867"/>
      <c r="FX28" s="867"/>
      <c r="FY28" s="867"/>
      <c r="FZ28" s="867"/>
      <c r="GA28" s="867"/>
      <c r="GB28" s="867"/>
      <c r="GC28" s="867"/>
      <c r="GD28" s="867"/>
      <c r="GE28" s="867"/>
      <c r="GF28" s="867"/>
      <c r="GG28" s="867"/>
      <c r="GH28" s="867"/>
      <c r="GI28" s="867"/>
      <c r="GJ28" s="867"/>
      <c r="GK28" s="867"/>
      <c r="GL28" s="867"/>
      <c r="GM28" s="867"/>
      <c r="GN28" s="867"/>
      <c r="GO28" s="867"/>
      <c r="GP28" s="867"/>
      <c r="GQ28" s="867"/>
      <c r="GR28" s="867"/>
      <c r="GS28" s="867"/>
      <c r="GT28" s="867"/>
      <c r="GU28" s="867"/>
      <c r="GV28" s="867"/>
      <c r="GW28" s="867"/>
      <c r="GX28" s="867"/>
      <c r="GY28" s="867"/>
      <c r="GZ28" s="867"/>
      <c r="HA28" s="867"/>
      <c r="HB28" s="867"/>
      <c r="HC28" s="867"/>
      <c r="HD28" s="867"/>
      <c r="HE28" s="867"/>
      <c r="HF28" s="867"/>
      <c r="HG28" s="867"/>
      <c r="HH28" s="867"/>
      <c r="HI28" s="867"/>
      <c r="HJ28" s="867"/>
      <c r="HK28" s="867"/>
      <c r="HL28" s="867"/>
      <c r="HM28" s="867"/>
      <c r="HN28" s="867"/>
      <c r="HO28" s="867"/>
      <c r="HP28" s="867"/>
    </row>
    <row r="29" spans="1:224" s="488" customFormat="1" ht="27.75" customHeight="1" x14ac:dyDescent="0.2">
      <c r="A29" s="98">
        <v>260</v>
      </c>
      <c r="B29" s="864">
        <v>13</v>
      </c>
      <c r="C29" s="98"/>
      <c r="D29" s="98" t="str">
        <f t="shared" si="0"/>
        <v>Bà</v>
      </c>
      <c r="E29" s="162" t="s">
        <v>189</v>
      </c>
      <c r="F29" s="98" t="s">
        <v>64</v>
      </c>
      <c r="G29" s="437" t="s">
        <v>190</v>
      </c>
      <c r="H29" s="438" t="s">
        <v>53</v>
      </c>
      <c r="I29" s="439" t="s">
        <v>44</v>
      </c>
      <c r="J29" s="438" t="s">
        <v>53</v>
      </c>
      <c r="K29" s="440">
        <v>1978</v>
      </c>
      <c r="L29" s="441" t="s">
        <v>83</v>
      </c>
      <c r="M29" s="442" t="str">
        <f t="shared" si="1"/>
        <v>VC</v>
      </c>
      <c r="N29" s="443"/>
      <c r="O29" s="444" t="e">
        <f t="shared" si="2"/>
        <v>#N/A</v>
      </c>
      <c r="P29" s="445"/>
      <c r="Q29" s="446" t="e">
        <f>VLOOKUP(P29,'[2]- DLiêu Gốc -'!$C$2:$H$114,2,0)</f>
        <v>#N/A</v>
      </c>
      <c r="R29" s="584" t="s">
        <v>191</v>
      </c>
      <c r="S29" s="448" t="s">
        <v>164</v>
      </c>
      <c r="T29" s="449" t="str">
        <f>VLOOKUP(Y29,'[2]- DLiêu Gốc -'!$C$2:$H$60,5,0)</f>
        <v>A1</v>
      </c>
      <c r="U29" s="450" t="str">
        <f>VLOOKUP(Y29,'[2]- DLiêu Gốc -'!$C$2:$H$60,6,0)</f>
        <v>- - -</v>
      </c>
      <c r="V29" s="727" t="s">
        <v>73</v>
      </c>
      <c r="W29" s="728" t="str">
        <f t="shared" si="3"/>
        <v>Giảng viên (hạng III)</v>
      </c>
      <c r="X29" s="729" t="str">
        <f t="shared" si="4"/>
        <v>V.07.01.03</v>
      </c>
      <c r="Y29" s="451" t="s">
        <v>77</v>
      </c>
      <c r="Z29" s="451" t="str">
        <f>VLOOKUP(Y29,'[2]- DLiêu Gốc -'!$C$1:$H$132,2,0)</f>
        <v>V.07.01.03</v>
      </c>
      <c r="AA29" s="268" t="str">
        <f t="shared" si="5"/>
        <v>Lương</v>
      </c>
      <c r="AB29" s="452">
        <v>5</v>
      </c>
      <c r="AC29" s="453" t="str">
        <f t="shared" si="6"/>
        <v>/</v>
      </c>
      <c r="AD29" s="454">
        <f t="shared" si="7"/>
        <v>9</v>
      </c>
      <c r="AE29" s="455">
        <f t="shared" si="8"/>
        <v>3.66</v>
      </c>
      <c r="AF29" s="456"/>
      <c r="AG29" s="456"/>
      <c r="AH29" s="457" t="s">
        <v>43</v>
      </c>
      <c r="AI29" s="458" t="s">
        <v>53</v>
      </c>
      <c r="AJ29" s="459" t="s">
        <v>45</v>
      </c>
      <c r="AK29" s="458" t="s">
        <v>53</v>
      </c>
      <c r="AL29" s="460">
        <v>2015</v>
      </c>
      <c r="AM29" s="461"/>
      <c r="AN29" s="462"/>
      <c r="AO29" s="463">
        <f t="shared" si="9"/>
        <v>6</v>
      </c>
      <c r="AP29" s="464" t="str">
        <f t="shared" si="10"/>
        <v>/</v>
      </c>
      <c r="AQ29" s="465">
        <f t="shared" si="11"/>
        <v>9</v>
      </c>
      <c r="AR29" s="265">
        <f t="shared" si="12"/>
        <v>3.99</v>
      </c>
      <c r="AS29" s="466"/>
      <c r="AT29" s="467" t="s">
        <v>43</v>
      </c>
      <c r="AU29" s="468" t="s">
        <v>53</v>
      </c>
      <c r="AV29" s="469" t="s">
        <v>45</v>
      </c>
      <c r="AW29" s="468" t="s">
        <v>53</v>
      </c>
      <c r="AX29" s="470">
        <v>2018</v>
      </c>
      <c r="AY29" s="471"/>
      <c r="AZ29" s="472">
        <v>5</v>
      </c>
      <c r="BA29" s="266">
        <f t="shared" si="13"/>
        <v>3</v>
      </c>
      <c r="BB29" s="473">
        <f t="shared" si="14"/>
        <v>-24221</v>
      </c>
      <c r="BC29" s="267">
        <f>VLOOKUP(Y29,'[2]- DLiêu Gốc -'!$C$1:$F$60,3,0)</f>
        <v>2.34</v>
      </c>
      <c r="BD29" s="267">
        <f>VLOOKUP(Y29,'[2]- DLiêu Gốc -'!$C$1:$F$60,4,0)</f>
        <v>0.33</v>
      </c>
      <c r="BE29" s="474" t="str">
        <f t="shared" si="15"/>
        <v>PCTN</v>
      </c>
      <c r="BF29" s="475">
        <v>13</v>
      </c>
      <c r="BG29" s="476" t="s">
        <v>41</v>
      </c>
      <c r="BH29" s="477" t="s">
        <v>43</v>
      </c>
      <c r="BI29" s="478" t="s">
        <v>53</v>
      </c>
      <c r="BJ29" s="730">
        <v>5</v>
      </c>
      <c r="BK29" s="479" t="s">
        <v>53</v>
      </c>
      <c r="BL29" s="480">
        <v>2017</v>
      </c>
      <c r="BM29" s="481"/>
      <c r="BN29" s="482"/>
      <c r="BO29" s="483">
        <f t="shared" si="16"/>
        <v>14</v>
      </c>
      <c r="BP29" s="484" t="s">
        <v>41</v>
      </c>
      <c r="BQ29" s="485" t="s">
        <v>43</v>
      </c>
      <c r="BR29" s="468" t="s">
        <v>53</v>
      </c>
      <c r="BS29" s="486">
        <v>5</v>
      </c>
      <c r="BT29" s="487" t="s">
        <v>53</v>
      </c>
      <c r="BU29" s="51">
        <v>2018</v>
      </c>
      <c r="BV29" s="731"/>
      <c r="BW29" s="865">
        <v>5</v>
      </c>
      <c r="BX29" s="840">
        <f t="shared" si="17"/>
        <v>-24221</v>
      </c>
      <c r="BY29" s="474" t="str">
        <f t="shared" si="18"/>
        <v>- - -</v>
      </c>
      <c r="BZ29" s="732" t="str">
        <f t="shared" si="19"/>
        <v>Chánh Văn phòng Học viện, Trưởng Ban Tổ chức - Cán bộ, Trưởng Khoa Quản lý nhà nước về Kinh tế và Tài chính công</v>
      </c>
      <c r="CA29" s="3" t="str">
        <f t="shared" si="20"/>
        <v>A</v>
      </c>
      <c r="CB29" s="733" t="str">
        <f t="shared" si="21"/>
        <v>=&gt; s</v>
      </c>
      <c r="CC29" s="268">
        <f t="shared" si="22"/>
        <v>24245</v>
      </c>
      <c r="CD29" s="98" t="str">
        <f t="shared" si="23"/>
        <v>S</v>
      </c>
      <c r="CE29" s="98">
        <v>2012</v>
      </c>
      <c r="CF29" s="866" t="s">
        <v>75</v>
      </c>
      <c r="CG29" s="98"/>
      <c r="CH29" s="734"/>
      <c r="CI29" s="98" t="str">
        <f t="shared" si="24"/>
        <v>Cùg Ng</v>
      </c>
      <c r="CJ29" s="269" t="str">
        <f t="shared" si="25"/>
        <v>- - -</v>
      </c>
      <c r="CK29" s="735"/>
      <c r="CL29" s="736"/>
      <c r="CM29" s="735"/>
      <c r="CN29" s="737"/>
      <c r="CO29" s="269" t="str">
        <f t="shared" si="26"/>
        <v>- - -</v>
      </c>
      <c r="CP29" s="735"/>
      <c r="CQ29" s="736"/>
      <c r="CR29" s="735"/>
      <c r="CS29" s="737"/>
      <c r="CT29" s="738" t="str">
        <f t="shared" si="27"/>
        <v>---</v>
      </c>
      <c r="CU29" s="739" t="str">
        <f t="shared" si="28"/>
        <v>/-/ /-/</v>
      </c>
      <c r="CV29" s="740">
        <f t="shared" si="29"/>
        <v>3</v>
      </c>
      <c r="CW29" s="741">
        <f t="shared" si="30"/>
        <v>2033</v>
      </c>
      <c r="CX29" s="740">
        <f t="shared" si="31"/>
        <v>12</v>
      </c>
      <c r="CY29" s="741">
        <f t="shared" si="32"/>
        <v>2032</v>
      </c>
      <c r="CZ29" s="740">
        <f t="shared" si="33"/>
        <v>9</v>
      </c>
      <c r="DA29" s="741">
        <f t="shared" si="34"/>
        <v>2032</v>
      </c>
      <c r="DB29" s="742" t="str">
        <f t="shared" si="35"/>
        <v>- - -</v>
      </c>
      <c r="DC29" s="743" t="str">
        <f t="shared" si="36"/>
        <v>. .</v>
      </c>
      <c r="DD29" s="743"/>
      <c r="DE29" s="268">
        <f t="shared" si="37"/>
        <v>660</v>
      </c>
      <c r="DF29" s="268">
        <f t="shared" si="38"/>
        <v>-23726</v>
      </c>
      <c r="DG29" s="268">
        <f t="shared" si="39"/>
        <v>-1978</v>
      </c>
      <c r="DH29" s="268" t="str">
        <f t="shared" si="40"/>
        <v>Nữ dưới 30</v>
      </c>
      <c r="DI29" s="268"/>
      <c r="DJ29" s="268"/>
      <c r="DK29" s="474" t="str">
        <f t="shared" si="41"/>
        <v>Đến 30</v>
      </c>
      <c r="DL29" s="735" t="str">
        <f t="shared" si="42"/>
        <v>--</v>
      </c>
      <c r="DM29" s="744"/>
      <c r="DN29" s="98"/>
      <c r="DO29" s="745"/>
      <c r="DP29" s="744"/>
      <c r="DQ29" s="737"/>
      <c r="DR29" s="746"/>
      <c r="DS29" s="279"/>
      <c r="DT29" s="270"/>
      <c r="DU29" s="51"/>
      <c r="DV29" s="447" t="s">
        <v>191</v>
      </c>
      <c r="DW29" s="467" t="s">
        <v>192</v>
      </c>
      <c r="DX29" s="469" t="s">
        <v>191</v>
      </c>
      <c r="DY29" s="469" t="s">
        <v>43</v>
      </c>
      <c r="DZ29" s="469" t="s">
        <v>53</v>
      </c>
      <c r="EA29" s="747" t="s">
        <v>45</v>
      </c>
      <c r="EB29" s="469" t="s">
        <v>53</v>
      </c>
      <c r="EC29" s="748">
        <v>2012</v>
      </c>
      <c r="ED29" s="467">
        <f t="shared" si="43"/>
        <v>0</v>
      </c>
      <c r="EE29" s="469" t="str">
        <f t="shared" si="44"/>
        <v>- - -</v>
      </c>
      <c r="EF29" s="469" t="s">
        <v>43</v>
      </c>
      <c r="EG29" s="469" t="s">
        <v>53</v>
      </c>
      <c r="EH29" s="747" t="s">
        <v>45</v>
      </c>
      <c r="EI29" s="98" t="s">
        <v>53</v>
      </c>
      <c r="EJ29" s="269">
        <v>2012</v>
      </c>
      <c r="EK29" s="271"/>
      <c r="EL29" s="51" t="str">
        <f t="shared" si="45"/>
        <v>- - -</v>
      </c>
      <c r="EM29" s="749" t="str">
        <f t="shared" si="46"/>
        <v>---</v>
      </c>
      <c r="EN29" s="749"/>
      <c r="EO29" s="749"/>
      <c r="EP29" s="749"/>
      <c r="EQ29" s="749"/>
      <c r="ER29" s="749"/>
      <c r="ES29" s="749"/>
      <c r="ET29" s="749"/>
      <c r="EU29" s="749"/>
      <c r="EV29" s="749"/>
      <c r="EW29" s="749"/>
      <c r="EX29" s="749"/>
      <c r="EY29" s="749"/>
      <c r="EZ29" s="749"/>
      <c r="FA29" s="749"/>
      <c r="FB29" s="749"/>
      <c r="FC29" s="749"/>
      <c r="FD29" s="749"/>
      <c r="FE29" s="749"/>
      <c r="FF29" s="749"/>
      <c r="FG29" s="749"/>
      <c r="FH29" s="749"/>
      <c r="FI29" s="749"/>
      <c r="FJ29" s="749"/>
      <c r="FK29" s="750"/>
      <c r="FL29" s="750"/>
      <c r="FM29" s="750"/>
      <c r="FN29" s="750"/>
      <c r="FO29" s="750"/>
      <c r="FP29" s="867"/>
      <c r="FQ29" s="867"/>
      <c r="FR29" s="867"/>
      <c r="FS29" s="867"/>
      <c r="FT29" s="867"/>
      <c r="FU29" s="867"/>
      <c r="FV29" s="867"/>
      <c r="FW29" s="867"/>
      <c r="FX29" s="867"/>
      <c r="FY29" s="867"/>
      <c r="FZ29" s="867"/>
      <c r="GA29" s="867"/>
      <c r="GB29" s="867"/>
      <c r="GC29" s="867"/>
      <c r="GD29" s="867"/>
      <c r="GE29" s="867"/>
      <c r="GF29" s="867"/>
      <c r="GG29" s="867"/>
      <c r="GH29" s="867"/>
      <c r="GI29" s="867"/>
      <c r="GJ29" s="867"/>
      <c r="GK29" s="867"/>
      <c r="GL29" s="867"/>
      <c r="GM29" s="867"/>
      <c r="GN29" s="867"/>
      <c r="GO29" s="867"/>
      <c r="GP29" s="867"/>
      <c r="GQ29" s="867"/>
      <c r="GR29" s="867"/>
      <c r="GS29" s="867"/>
      <c r="GT29" s="867"/>
      <c r="GU29" s="867"/>
      <c r="GV29" s="867"/>
      <c r="GW29" s="867"/>
      <c r="GX29" s="867"/>
      <c r="GY29" s="867"/>
      <c r="GZ29" s="867"/>
      <c r="HA29" s="867"/>
      <c r="HB29" s="867"/>
      <c r="HC29" s="867"/>
      <c r="HD29" s="867"/>
      <c r="HE29" s="867"/>
      <c r="HF29" s="867"/>
      <c r="HG29" s="867"/>
      <c r="HH29" s="867"/>
      <c r="HI29" s="867"/>
      <c r="HJ29" s="867"/>
      <c r="HK29" s="867"/>
      <c r="HL29" s="867"/>
      <c r="HM29" s="867"/>
      <c r="HN29" s="867"/>
      <c r="HO29" s="867"/>
      <c r="HP29" s="867"/>
    </row>
    <row r="30" spans="1:224" s="488" customFormat="1" ht="27.75" customHeight="1" x14ac:dyDescent="0.2">
      <c r="A30" s="98">
        <v>272</v>
      </c>
      <c r="B30" s="864">
        <v>14</v>
      </c>
      <c r="C30" s="98"/>
      <c r="D30" s="98" t="str">
        <f t="shared" si="0"/>
        <v>Bà</v>
      </c>
      <c r="E30" s="162" t="s">
        <v>266</v>
      </c>
      <c r="F30" s="98" t="s">
        <v>64</v>
      </c>
      <c r="G30" s="437" t="s">
        <v>51</v>
      </c>
      <c r="H30" s="438" t="s">
        <v>53</v>
      </c>
      <c r="I30" s="439" t="s">
        <v>58</v>
      </c>
      <c r="J30" s="438" t="s">
        <v>53</v>
      </c>
      <c r="K30" s="440">
        <v>1975</v>
      </c>
      <c r="L30" s="441" t="s">
        <v>83</v>
      </c>
      <c r="M30" s="442" t="str">
        <f t="shared" si="1"/>
        <v>VC</v>
      </c>
      <c r="N30" s="443"/>
      <c r="O30" s="444" t="str">
        <f t="shared" si="2"/>
        <v>CVụ</v>
      </c>
      <c r="P30" s="445" t="s">
        <v>160</v>
      </c>
      <c r="Q30" s="446">
        <f>VLOOKUP(P30,'[2]- DLiêu Gốc -'!$C$2:$H$114,2,0)</f>
        <v>0.6</v>
      </c>
      <c r="R30" s="584" t="s">
        <v>267</v>
      </c>
      <c r="S30" s="448" t="s">
        <v>164</v>
      </c>
      <c r="T30" s="449" t="str">
        <f>VLOOKUP(Y30,'[2]- DLiêu Gốc -'!$C$2:$H$60,5,0)</f>
        <v>A2</v>
      </c>
      <c r="U30" s="450" t="str">
        <f>VLOOKUP(Y30,'[2]- DLiêu Gốc -'!$C$2:$H$60,6,0)</f>
        <v>A2.1</v>
      </c>
      <c r="V30" s="727" t="s">
        <v>73</v>
      </c>
      <c r="W30" s="728" t="str">
        <f t="shared" si="3"/>
        <v>Giảng viên chính (hạng II)</v>
      </c>
      <c r="X30" s="729" t="str">
        <f t="shared" si="4"/>
        <v>V.07.01.02</v>
      </c>
      <c r="Y30" s="451" t="s">
        <v>78</v>
      </c>
      <c r="Z30" s="451" t="str">
        <f>VLOOKUP(Y30,'[2]- DLiêu Gốc -'!$C$1:$H$132,2,0)</f>
        <v>V.07.01.02</v>
      </c>
      <c r="AA30" s="268" t="str">
        <f t="shared" si="5"/>
        <v>Lương</v>
      </c>
      <c r="AB30" s="452">
        <v>2</v>
      </c>
      <c r="AC30" s="453" t="str">
        <f t="shared" si="6"/>
        <v>/</v>
      </c>
      <c r="AD30" s="454">
        <f t="shared" si="7"/>
        <v>8</v>
      </c>
      <c r="AE30" s="455">
        <f t="shared" si="8"/>
        <v>4.74</v>
      </c>
      <c r="AF30" s="456"/>
      <c r="AG30" s="456"/>
      <c r="AH30" s="457"/>
      <c r="AI30" s="458"/>
      <c r="AJ30" s="459"/>
      <c r="AK30" s="458"/>
      <c r="AL30" s="460"/>
      <c r="AM30" s="461"/>
      <c r="AN30" s="462"/>
      <c r="AO30" s="463">
        <f t="shared" si="9"/>
        <v>3</v>
      </c>
      <c r="AP30" s="464" t="str">
        <f t="shared" si="10"/>
        <v>/</v>
      </c>
      <c r="AQ30" s="465">
        <f t="shared" si="11"/>
        <v>8</v>
      </c>
      <c r="AR30" s="265">
        <f t="shared" si="12"/>
        <v>5.08</v>
      </c>
      <c r="AS30" s="466"/>
      <c r="AT30" s="467" t="s">
        <v>43</v>
      </c>
      <c r="AU30" s="468" t="s">
        <v>53</v>
      </c>
      <c r="AV30" s="469" t="s">
        <v>49</v>
      </c>
      <c r="AW30" s="468" t="s">
        <v>53</v>
      </c>
      <c r="AX30" s="470">
        <v>2016</v>
      </c>
      <c r="AY30" s="471"/>
      <c r="AZ30" s="472"/>
      <c r="BA30" s="266">
        <f t="shared" si="13"/>
        <v>3</v>
      </c>
      <c r="BB30" s="473">
        <f t="shared" si="14"/>
        <v>-24199</v>
      </c>
      <c r="BC30" s="267">
        <f>VLOOKUP(Y30,'[2]- DLiêu Gốc -'!$C$1:$F$60,3,0)</f>
        <v>4.4000000000000004</v>
      </c>
      <c r="BD30" s="267">
        <f>VLOOKUP(Y30,'[2]- DLiêu Gốc -'!$C$1:$F$60,4,0)</f>
        <v>0.34</v>
      </c>
      <c r="BE30" s="474" t="str">
        <f t="shared" si="15"/>
        <v>PCTN</v>
      </c>
      <c r="BF30" s="475">
        <v>17</v>
      </c>
      <c r="BG30" s="476" t="s">
        <v>41</v>
      </c>
      <c r="BH30" s="477" t="s">
        <v>43</v>
      </c>
      <c r="BI30" s="478" t="s">
        <v>53</v>
      </c>
      <c r="BJ30" s="730" t="s">
        <v>45</v>
      </c>
      <c r="BK30" s="479" t="s">
        <v>53</v>
      </c>
      <c r="BL30" s="480">
        <v>2017</v>
      </c>
      <c r="BM30" s="481"/>
      <c r="BN30" s="482"/>
      <c r="BO30" s="483">
        <f t="shared" si="16"/>
        <v>18</v>
      </c>
      <c r="BP30" s="484" t="s">
        <v>41</v>
      </c>
      <c r="BQ30" s="485" t="s">
        <v>43</v>
      </c>
      <c r="BR30" s="468" t="s">
        <v>53</v>
      </c>
      <c r="BS30" s="486" t="s">
        <v>45</v>
      </c>
      <c r="BT30" s="487" t="s">
        <v>53</v>
      </c>
      <c r="BU30" s="51">
        <v>2018</v>
      </c>
      <c r="BV30" s="731"/>
      <c r="BW30" s="865">
        <v>5</v>
      </c>
      <c r="BX30" s="840">
        <f t="shared" si="17"/>
        <v>-24221</v>
      </c>
      <c r="BY30" s="474" t="str">
        <f t="shared" si="18"/>
        <v>- - -</v>
      </c>
      <c r="BZ30" s="732" t="str">
        <f t="shared" si="19"/>
        <v>Chánh Văn phòng Học viện, Trưởng Ban Tổ chức - Cán bộ, Trưởng Khoa Quản lý nhà nước về Kinh tế và Tài chính công</v>
      </c>
      <c r="CA30" s="3" t="str">
        <f t="shared" si="20"/>
        <v>A</v>
      </c>
      <c r="CB30" s="733" t="str">
        <f t="shared" si="21"/>
        <v>=&gt; s</v>
      </c>
      <c r="CC30" s="268">
        <f t="shared" si="22"/>
        <v>24223</v>
      </c>
      <c r="CD30" s="98" t="str">
        <f t="shared" si="23"/>
        <v>S</v>
      </c>
      <c r="CE30" s="98">
        <v>2016</v>
      </c>
      <c r="CF30" s="866" t="s">
        <v>75</v>
      </c>
      <c r="CG30" s="98"/>
      <c r="CH30" s="734"/>
      <c r="CI30" s="98" t="str">
        <f t="shared" si="24"/>
        <v>- - -</v>
      </c>
      <c r="CJ30" s="269" t="str">
        <f t="shared" si="25"/>
        <v>NN</v>
      </c>
      <c r="CK30" s="735">
        <v>1</v>
      </c>
      <c r="CL30" s="736" t="s">
        <v>55</v>
      </c>
      <c r="CM30" s="735"/>
      <c r="CN30" s="737"/>
      <c r="CO30" s="269" t="str">
        <f t="shared" si="26"/>
        <v>- - -</v>
      </c>
      <c r="CP30" s="735"/>
      <c r="CQ30" s="736"/>
      <c r="CR30" s="735"/>
      <c r="CS30" s="737"/>
      <c r="CT30" s="738" t="str">
        <f t="shared" si="27"/>
        <v>---</v>
      </c>
      <c r="CU30" s="739" t="str">
        <f t="shared" si="28"/>
        <v>/-/ /-/</v>
      </c>
      <c r="CV30" s="740">
        <f t="shared" si="29"/>
        <v>12</v>
      </c>
      <c r="CW30" s="741">
        <f t="shared" si="30"/>
        <v>2030</v>
      </c>
      <c r="CX30" s="740">
        <f t="shared" si="31"/>
        <v>9</v>
      </c>
      <c r="CY30" s="741">
        <f t="shared" si="32"/>
        <v>2030</v>
      </c>
      <c r="CZ30" s="740">
        <f t="shared" si="33"/>
        <v>6</v>
      </c>
      <c r="DA30" s="741">
        <f t="shared" si="34"/>
        <v>2030</v>
      </c>
      <c r="DB30" s="742" t="str">
        <f t="shared" si="35"/>
        <v>- - -</v>
      </c>
      <c r="DC30" s="743" t="str">
        <f t="shared" si="36"/>
        <v>. .</v>
      </c>
      <c r="DD30" s="743"/>
      <c r="DE30" s="268">
        <f t="shared" si="37"/>
        <v>660</v>
      </c>
      <c r="DF30" s="268">
        <f t="shared" si="38"/>
        <v>-23699</v>
      </c>
      <c r="DG30" s="268">
        <f t="shared" si="39"/>
        <v>-1975</v>
      </c>
      <c r="DH30" s="268" t="str">
        <f t="shared" si="40"/>
        <v>Nữ dưới 30</v>
      </c>
      <c r="DI30" s="268"/>
      <c r="DJ30" s="268"/>
      <c r="DK30" s="474" t="str">
        <f t="shared" si="41"/>
        <v>Đến 30</v>
      </c>
      <c r="DL30" s="735" t="str">
        <f t="shared" si="42"/>
        <v>--</v>
      </c>
      <c r="DM30" s="744"/>
      <c r="DN30" s="98"/>
      <c r="DO30" s="745"/>
      <c r="DP30" s="744"/>
      <c r="DQ30" s="737"/>
      <c r="DR30" s="746"/>
      <c r="DS30" s="279"/>
      <c r="DT30" s="270"/>
      <c r="DU30" s="51"/>
      <c r="DV30" s="447" t="s">
        <v>267</v>
      </c>
      <c r="DW30" s="467" t="s">
        <v>268</v>
      </c>
      <c r="DX30" s="469" t="s">
        <v>267</v>
      </c>
      <c r="DY30" s="469" t="s">
        <v>43</v>
      </c>
      <c r="DZ30" s="469" t="s">
        <v>53</v>
      </c>
      <c r="EA30" s="747" t="s">
        <v>43</v>
      </c>
      <c r="EB30" s="469" t="s">
        <v>53</v>
      </c>
      <c r="EC30" s="748">
        <v>2014</v>
      </c>
      <c r="ED30" s="467">
        <f t="shared" si="43"/>
        <v>0</v>
      </c>
      <c r="EE30" s="469" t="str">
        <f t="shared" si="44"/>
        <v>- - -</v>
      </c>
      <c r="EF30" s="469" t="s">
        <v>43</v>
      </c>
      <c r="EG30" s="469" t="s">
        <v>53</v>
      </c>
      <c r="EH30" s="747" t="s">
        <v>43</v>
      </c>
      <c r="EI30" s="98" t="s">
        <v>53</v>
      </c>
      <c r="EJ30" s="269">
        <v>2014</v>
      </c>
      <c r="EK30" s="271">
        <v>3.66</v>
      </c>
      <c r="EL30" s="51" t="str">
        <f t="shared" si="45"/>
        <v>- - -</v>
      </c>
      <c r="EM30" s="749" t="str">
        <f t="shared" si="46"/>
        <v>---</v>
      </c>
      <c r="EN30" s="749"/>
      <c r="EO30" s="749"/>
      <c r="EP30" s="749"/>
      <c r="EQ30" s="749"/>
      <c r="ER30" s="749"/>
      <c r="ES30" s="749"/>
      <c r="ET30" s="749"/>
      <c r="EU30" s="749"/>
      <c r="EV30" s="749"/>
      <c r="EW30" s="749"/>
      <c r="EX30" s="749"/>
      <c r="EY30" s="749"/>
      <c r="EZ30" s="749"/>
      <c r="FA30" s="749"/>
      <c r="FB30" s="749"/>
      <c r="FC30" s="749"/>
      <c r="FD30" s="749"/>
      <c r="FE30" s="749"/>
      <c r="FF30" s="749"/>
      <c r="FG30" s="749"/>
      <c r="FH30" s="749"/>
      <c r="FI30" s="749"/>
      <c r="FJ30" s="749"/>
      <c r="FK30" s="750"/>
      <c r="FL30" s="750"/>
      <c r="FM30" s="750"/>
      <c r="FN30" s="750"/>
      <c r="FO30" s="750"/>
      <c r="FP30" s="867"/>
      <c r="FQ30" s="867"/>
      <c r="FR30" s="867"/>
      <c r="FS30" s="867"/>
      <c r="FT30" s="867"/>
      <c r="FU30" s="867"/>
      <c r="FV30" s="867"/>
      <c r="FW30" s="867"/>
      <c r="FX30" s="867"/>
      <c r="FY30" s="867"/>
      <c r="FZ30" s="867"/>
      <c r="GA30" s="867"/>
      <c r="GB30" s="867"/>
      <c r="GC30" s="867"/>
      <c r="GD30" s="867"/>
      <c r="GE30" s="867"/>
      <c r="GF30" s="867"/>
      <c r="GG30" s="867"/>
      <c r="GH30" s="867"/>
      <c r="GI30" s="867"/>
      <c r="GJ30" s="867"/>
      <c r="GK30" s="867"/>
      <c r="GL30" s="867"/>
      <c r="GM30" s="867"/>
      <c r="GN30" s="867"/>
      <c r="GO30" s="867"/>
      <c r="GP30" s="867"/>
      <c r="GQ30" s="867"/>
      <c r="GR30" s="867"/>
      <c r="GS30" s="867"/>
      <c r="GT30" s="867"/>
      <c r="GU30" s="867"/>
      <c r="GV30" s="867"/>
      <c r="GW30" s="867"/>
      <c r="GX30" s="867"/>
      <c r="GY30" s="867"/>
      <c r="GZ30" s="867"/>
      <c r="HA30" s="867"/>
      <c r="HB30" s="867"/>
      <c r="HC30" s="867"/>
      <c r="HD30" s="867"/>
      <c r="HE30" s="867"/>
      <c r="HF30" s="867"/>
      <c r="HG30" s="867"/>
      <c r="HH30" s="867"/>
      <c r="HI30" s="867"/>
      <c r="HJ30" s="867"/>
      <c r="HK30" s="867"/>
      <c r="HL30" s="867"/>
      <c r="HM30" s="867"/>
      <c r="HN30" s="867"/>
      <c r="HO30" s="867"/>
      <c r="HP30" s="867"/>
    </row>
    <row r="31" spans="1:224" s="488" customFormat="1" ht="27.75" customHeight="1" x14ac:dyDescent="0.2">
      <c r="A31" s="98">
        <v>273</v>
      </c>
      <c r="B31" s="864">
        <v>15</v>
      </c>
      <c r="C31" s="98"/>
      <c r="D31" s="98" t="str">
        <f t="shared" si="0"/>
        <v>Bà</v>
      </c>
      <c r="E31" s="162" t="s">
        <v>269</v>
      </c>
      <c r="F31" s="98" t="s">
        <v>64</v>
      </c>
      <c r="G31" s="437" t="s">
        <v>151</v>
      </c>
      <c r="H31" s="438" t="s">
        <v>53</v>
      </c>
      <c r="I31" s="439">
        <v>5</v>
      </c>
      <c r="J31" s="438" t="s">
        <v>53</v>
      </c>
      <c r="K31" s="440">
        <v>1977</v>
      </c>
      <c r="L31" s="441" t="s">
        <v>83</v>
      </c>
      <c r="M31" s="442" t="str">
        <f t="shared" si="1"/>
        <v>VC</v>
      </c>
      <c r="N31" s="443"/>
      <c r="O31" s="444" t="e">
        <f t="shared" si="2"/>
        <v>#N/A</v>
      </c>
      <c r="P31" s="445"/>
      <c r="Q31" s="446" t="e">
        <f>VLOOKUP(P31,'[2]- DLiêu Gốc -'!$C$2:$H$114,2,0)</f>
        <v>#N/A</v>
      </c>
      <c r="R31" s="584" t="s">
        <v>267</v>
      </c>
      <c r="S31" s="448" t="s">
        <v>164</v>
      </c>
      <c r="T31" s="449" t="str">
        <f>VLOOKUP(Y31,'[2]- DLiêu Gốc -'!$C$2:$H$60,5,0)</f>
        <v>A1</v>
      </c>
      <c r="U31" s="450" t="str">
        <f>VLOOKUP(Y31,'[2]- DLiêu Gốc -'!$C$2:$H$60,6,0)</f>
        <v>- - -</v>
      </c>
      <c r="V31" s="727" t="s">
        <v>73</v>
      </c>
      <c r="W31" s="728" t="str">
        <f t="shared" si="3"/>
        <v>Giảng viên (hạng III)</v>
      </c>
      <c r="X31" s="729" t="str">
        <f t="shared" si="4"/>
        <v>V.07.01.03</v>
      </c>
      <c r="Y31" s="451" t="s">
        <v>77</v>
      </c>
      <c r="Z31" s="451" t="str">
        <f>VLOOKUP(Y31,'[2]- DLiêu Gốc -'!$C$1:$H$132,2,0)</f>
        <v>V.07.01.03</v>
      </c>
      <c r="AA31" s="268" t="str">
        <f t="shared" si="5"/>
        <v>Lương</v>
      </c>
      <c r="AB31" s="452">
        <v>5</v>
      </c>
      <c r="AC31" s="453" t="str">
        <f t="shared" si="6"/>
        <v>/</v>
      </c>
      <c r="AD31" s="454">
        <f t="shared" si="7"/>
        <v>9</v>
      </c>
      <c r="AE31" s="455">
        <f t="shared" si="8"/>
        <v>3.66</v>
      </c>
      <c r="AF31" s="456"/>
      <c r="AG31" s="456"/>
      <c r="AH31" s="457"/>
      <c r="AI31" s="458"/>
      <c r="AJ31" s="459"/>
      <c r="AK31" s="458"/>
      <c r="AL31" s="460"/>
      <c r="AM31" s="461"/>
      <c r="AN31" s="462"/>
      <c r="AO31" s="463">
        <f t="shared" si="9"/>
        <v>6</v>
      </c>
      <c r="AP31" s="464" t="str">
        <f t="shared" si="10"/>
        <v>/</v>
      </c>
      <c r="AQ31" s="465">
        <f t="shared" si="11"/>
        <v>9</v>
      </c>
      <c r="AR31" s="265">
        <f t="shared" si="12"/>
        <v>3.99</v>
      </c>
      <c r="AS31" s="466"/>
      <c r="AT31" s="467" t="s">
        <v>43</v>
      </c>
      <c r="AU31" s="468" t="s">
        <v>53</v>
      </c>
      <c r="AV31" s="469" t="s">
        <v>43</v>
      </c>
      <c r="AW31" s="468" t="s">
        <v>53</v>
      </c>
      <c r="AX31" s="470">
        <v>2017</v>
      </c>
      <c r="AY31" s="471"/>
      <c r="AZ31" s="472"/>
      <c r="BA31" s="266">
        <f t="shared" si="13"/>
        <v>3</v>
      </c>
      <c r="BB31" s="473">
        <f t="shared" si="14"/>
        <v>-24205</v>
      </c>
      <c r="BC31" s="267">
        <f>VLOOKUP(Y31,'[2]- DLiêu Gốc -'!$C$1:$F$60,3,0)</f>
        <v>2.34</v>
      </c>
      <c r="BD31" s="267">
        <f>VLOOKUP(Y31,'[2]- DLiêu Gốc -'!$C$1:$F$60,4,0)</f>
        <v>0.33</v>
      </c>
      <c r="BE31" s="474" t="str">
        <f t="shared" si="15"/>
        <v>PCTN</v>
      </c>
      <c r="BF31" s="475">
        <v>14</v>
      </c>
      <c r="BG31" s="476" t="s">
        <v>41</v>
      </c>
      <c r="BH31" s="477" t="s">
        <v>43</v>
      </c>
      <c r="BI31" s="478" t="s">
        <v>53</v>
      </c>
      <c r="BJ31" s="730">
        <v>5</v>
      </c>
      <c r="BK31" s="479" t="s">
        <v>53</v>
      </c>
      <c r="BL31" s="480">
        <v>2017</v>
      </c>
      <c r="BM31" s="481"/>
      <c r="BN31" s="482"/>
      <c r="BO31" s="483">
        <f t="shared" si="16"/>
        <v>15</v>
      </c>
      <c r="BP31" s="484" t="s">
        <v>41</v>
      </c>
      <c r="BQ31" s="485" t="s">
        <v>43</v>
      </c>
      <c r="BR31" s="468" t="s">
        <v>53</v>
      </c>
      <c r="BS31" s="486">
        <v>5</v>
      </c>
      <c r="BT31" s="487" t="s">
        <v>53</v>
      </c>
      <c r="BU31" s="51">
        <v>2018</v>
      </c>
      <c r="BV31" s="731"/>
      <c r="BW31" s="865">
        <v>5</v>
      </c>
      <c r="BX31" s="840">
        <f t="shared" si="17"/>
        <v>-24221</v>
      </c>
      <c r="BY31" s="474" t="str">
        <f t="shared" si="18"/>
        <v>- - -</v>
      </c>
      <c r="BZ31" s="732" t="str">
        <f t="shared" si="19"/>
        <v>Chánh Văn phòng Học viện, Trưởng Ban Tổ chức - Cán bộ, Trưởng Khoa Quản lý nhà nước về Kinh tế và Tài chính công</v>
      </c>
      <c r="CA31" s="3" t="str">
        <f t="shared" si="20"/>
        <v>A</v>
      </c>
      <c r="CB31" s="733" t="str">
        <f t="shared" si="21"/>
        <v>=&gt; s</v>
      </c>
      <c r="CC31" s="268">
        <f t="shared" si="22"/>
        <v>24229</v>
      </c>
      <c r="CD31" s="98" t="str">
        <f t="shared" si="23"/>
        <v>S</v>
      </c>
      <c r="CE31" s="98">
        <v>2013</v>
      </c>
      <c r="CF31" s="866" t="s">
        <v>75</v>
      </c>
      <c r="CG31" s="98"/>
      <c r="CH31" s="734"/>
      <c r="CI31" s="98" t="str">
        <f t="shared" si="24"/>
        <v>Cùg Ng</v>
      </c>
      <c r="CJ31" s="269" t="str">
        <f t="shared" si="25"/>
        <v>- - -</v>
      </c>
      <c r="CK31" s="735"/>
      <c r="CL31" s="736"/>
      <c r="CM31" s="735"/>
      <c r="CN31" s="737"/>
      <c r="CO31" s="269" t="str">
        <f t="shared" si="26"/>
        <v>- - -</v>
      </c>
      <c r="CP31" s="735"/>
      <c r="CQ31" s="736"/>
      <c r="CR31" s="735"/>
      <c r="CS31" s="737"/>
      <c r="CT31" s="738" t="str">
        <f t="shared" si="27"/>
        <v>---</v>
      </c>
      <c r="CU31" s="739" t="str">
        <f t="shared" si="28"/>
        <v>/-/ /-/</v>
      </c>
      <c r="CV31" s="740">
        <f t="shared" si="29"/>
        <v>6</v>
      </c>
      <c r="CW31" s="741">
        <f t="shared" si="30"/>
        <v>2032</v>
      </c>
      <c r="CX31" s="740">
        <f t="shared" si="31"/>
        <v>3</v>
      </c>
      <c r="CY31" s="741">
        <f t="shared" si="32"/>
        <v>2032</v>
      </c>
      <c r="CZ31" s="740">
        <f t="shared" si="33"/>
        <v>12</v>
      </c>
      <c r="DA31" s="741">
        <f t="shared" si="34"/>
        <v>2031</v>
      </c>
      <c r="DB31" s="742" t="str">
        <f t="shared" si="35"/>
        <v>- - -</v>
      </c>
      <c r="DC31" s="743" t="str">
        <f t="shared" si="36"/>
        <v>. .</v>
      </c>
      <c r="DD31" s="743"/>
      <c r="DE31" s="268">
        <f t="shared" si="37"/>
        <v>660</v>
      </c>
      <c r="DF31" s="268">
        <f t="shared" si="38"/>
        <v>-23717</v>
      </c>
      <c r="DG31" s="268">
        <f t="shared" si="39"/>
        <v>-1977</v>
      </c>
      <c r="DH31" s="268" t="str">
        <f t="shared" si="40"/>
        <v>Nữ dưới 30</v>
      </c>
      <c r="DI31" s="268"/>
      <c r="DJ31" s="268"/>
      <c r="DK31" s="474" t="str">
        <f t="shared" si="41"/>
        <v>Đến 30</v>
      </c>
      <c r="DL31" s="735" t="str">
        <f t="shared" si="42"/>
        <v>TD</v>
      </c>
      <c r="DM31" s="744">
        <v>2009</v>
      </c>
      <c r="DN31" s="98"/>
      <c r="DO31" s="745"/>
      <c r="DP31" s="744"/>
      <c r="DQ31" s="737"/>
      <c r="DR31" s="746"/>
      <c r="DS31" s="279"/>
      <c r="DT31" s="270"/>
      <c r="DU31" s="51"/>
      <c r="DV31" s="447" t="s">
        <v>267</v>
      </c>
      <c r="DW31" s="467" t="s">
        <v>268</v>
      </c>
      <c r="DX31" s="469" t="s">
        <v>267</v>
      </c>
      <c r="DY31" s="469" t="s">
        <v>43</v>
      </c>
      <c r="DZ31" s="469" t="s">
        <v>53</v>
      </c>
      <c r="EA31" s="747" t="s">
        <v>43</v>
      </c>
      <c r="EB31" s="469" t="s">
        <v>53</v>
      </c>
      <c r="EC31" s="748">
        <v>2014</v>
      </c>
      <c r="ED31" s="467">
        <f t="shared" si="43"/>
        <v>0</v>
      </c>
      <c r="EE31" s="469" t="str">
        <f t="shared" si="44"/>
        <v>- - -</v>
      </c>
      <c r="EF31" s="469" t="s">
        <v>43</v>
      </c>
      <c r="EG31" s="469" t="s">
        <v>53</v>
      </c>
      <c r="EH31" s="747" t="s">
        <v>43</v>
      </c>
      <c r="EI31" s="98" t="s">
        <v>53</v>
      </c>
      <c r="EJ31" s="269">
        <v>2014</v>
      </c>
      <c r="EK31" s="271"/>
      <c r="EL31" s="51" t="str">
        <f t="shared" si="45"/>
        <v>- - -</v>
      </c>
      <c r="EM31" s="749" t="str">
        <f t="shared" si="46"/>
        <v>---</v>
      </c>
      <c r="EN31" s="749"/>
      <c r="EO31" s="749"/>
      <c r="EP31" s="749"/>
      <c r="EQ31" s="749"/>
      <c r="ER31" s="749"/>
      <c r="ES31" s="749"/>
      <c r="ET31" s="749"/>
      <c r="EU31" s="749"/>
      <c r="EV31" s="749"/>
      <c r="EW31" s="749"/>
      <c r="EX31" s="749"/>
      <c r="EY31" s="749"/>
      <c r="EZ31" s="749"/>
      <c r="FA31" s="749"/>
      <c r="FB31" s="749"/>
      <c r="FC31" s="749"/>
      <c r="FD31" s="749"/>
      <c r="FE31" s="749"/>
      <c r="FF31" s="749"/>
      <c r="FG31" s="749"/>
      <c r="FH31" s="749"/>
      <c r="FI31" s="749"/>
      <c r="FJ31" s="749"/>
      <c r="FK31" s="750"/>
      <c r="FL31" s="750"/>
      <c r="FM31" s="750"/>
      <c r="FN31" s="750"/>
      <c r="FO31" s="750"/>
      <c r="FP31" s="867"/>
      <c r="FQ31" s="867"/>
      <c r="FR31" s="867"/>
      <c r="FS31" s="867"/>
      <c r="FT31" s="867"/>
      <c r="FU31" s="867"/>
      <c r="FV31" s="867"/>
      <c r="FW31" s="867"/>
      <c r="FX31" s="867"/>
      <c r="FY31" s="867"/>
      <c r="FZ31" s="867"/>
      <c r="GA31" s="867"/>
      <c r="GB31" s="867"/>
      <c r="GC31" s="867"/>
      <c r="GD31" s="867"/>
      <c r="GE31" s="867"/>
      <c r="GF31" s="867"/>
      <c r="GG31" s="867"/>
      <c r="GH31" s="867"/>
      <c r="GI31" s="867"/>
      <c r="GJ31" s="867"/>
      <c r="GK31" s="867"/>
      <c r="GL31" s="867"/>
      <c r="GM31" s="867"/>
      <c r="GN31" s="867"/>
      <c r="GO31" s="867"/>
      <c r="GP31" s="867"/>
      <c r="GQ31" s="867"/>
      <c r="GR31" s="867"/>
      <c r="GS31" s="867"/>
      <c r="GT31" s="867"/>
      <c r="GU31" s="867"/>
      <c r="GV31" s="867"/>
      <c r="GW31" s="867"/>
      <c r="GX31" s="867"/>
      <c r="GY31" s="867"/>
      <c r="GZ31" s="867"/>
      <c r="HA31" s="867"/>
      <c r="HB31" s="867"/>
      <c r="HC31" s="867"/>
      <c r="HD31" s="867"/>
      <c r="HE31" s="867"/>
      <c r="HF31" s="867"/>
      <c r="HG31" s="867"/>
      <c r="HH31" s="867"/>
      <c r="HI31" s="867"/>
      <c r="HJ31" s="867"/>
      <c r="HK31" s="867"/>
      <c r="HL31" s="867"/>
      <c r="HM31" s="867"/>
      <c r="HN31" s="867"/>
      <c r="HO31" s="867"/>
      <c r="HP31" s="867"/>
    </row>
    <row r="32" spans="1:224" s="488" customFormat="1" ht="27.75" customHeight="1" x14ac:dyDescent="0.2">
      <c r="A32" s="98">
        <v>275</v>
      </c>
      <c r="B32" s="864">
        <v>16</v>
      </c>
      <c r="C32" s="98"/>
      <c r="D32" s="98" t="str">
        <f t="shared" si="0"/>
        <v>Ông</v>
      </c>
      <c r="E32" s="162" t="s">
        <v>270</v>
      </c>
      <c r="F32" s="98" t="s">
        <v>63</v>
      </c>
      <c r="G32" s="437" t="s">
        <v>43</v>
      </c>
      <c r="H32" s="438" t="s">
        <v>53</v>
      </c>
      <c r="I32" s="439" t="s">
        <v>58</v>
      </c>
      <c r="J32" s="438" t="s">
        <v>53</v>
      </c>
      <c r="K32" s="440" t="s">
        <v>174</v>
      </c>
      <c r="L32" s="441" t="s">
        <v>83</v>
      </c>
      <c r="M32" s="442" t="str">
        <f t="shared" si="1"/>
        <v>VC</v>
      </c>
      <c r="N32" s="443"/>
      <c r="O32" s="444" t="e">
        <f t="shared" si="2"/>
        <v>#N/A</v>
      </c>
      <c r="P32" s="445"/>
      <c r="Q32" s="446" t="e">
        <f>VLOOKUP(P32,'[2]- DLiêu Gốc -'!$C$2:$H$114,2,0)</f>
        <v>#N/A</v>
      </c>
      <c r="R32" s="584" t="s">
        <v>271</v>
      </c>
      <c r="S32" s="448" t="s">
        <v>164</v>
      </c>
      <c r="T32" s="449" t="str">
        <f>VLOOKUP(Y32,'[2]- DLiêu Gốc -'!$C$2:$H$60,5,0)</f>
        <v>A2</v>
      </c>
      <c r="U32" s="450" t="str">
        <f>VLOOKUP(Y32,'[2]- DLiêu Gốc -'!$C$2:$H$60,6,0)</f>
        <v>A2.1</v>
      </c>
      <c r="V32" s="727" t="s">
        <v>73</v>
      </c>
      <c r="W32" s="728" t="str">
        <f t="shared" si="3"/>
        <v>Giảng viên chính (hạng II)</v>
      </c>
      <c r="X32" s="729" t="str">
        <f t="shared" si="4"/>
        <v>V.07.01.02</v>
      </c>
      <c r="Y32" s="451" t="s">
        <v>78</v>
      </c>
      <c r="Z32" s="451" t="str">
        <f>VLOOKUP(Y32,'[2]- DLiêu Gốc -'!$C$1:$H$132,2,0)</f>
        <v>V.07.01.02</v>
      </c>
      <c r="AA32" s="268" t="str">
        <f t="shared" si="5"/>
        <v>Lương</v>
      </c>
      <c r="AB32" s="452">
        <v>1</v>
      </c>
      <c r="AC32" s="453" t="str">
        <f t="shared" si="6"/>
        <v>/</v>
      </c>
      <c r="AD32" s="454">
        <f t="shared" si="7"/>
        <v>8</v>
      </c>
      <c r="AE32" s="455">
        <f t="shared" si="8"/>
        <v>4.4000000000000004</v>
      </c>
      <c r="AF32" s="456"/>
      <c r="AG32" s="456"/>
      <c r="AH32" s="457"/>
      <c r="AI32" s="458"/>
      <c r="AJ32" s="459"/>
      <c r="AK32" s="458"/>
      <c r="AL32" s="460"/>
      <c r="AM32" s="461"/>
      <c r="AN32" s="462"/>
      <c r="AO32" s="463">
        <f t="shared" si="9"/>
        <v>2</v>
      </c>
      <c r="AP32" s="464" t="str">
        <f t="shared" si="10"/>
        <v>/</v>
      </c>
      <c r="AQ32" s="465">
        <f t="shared" si="11"/>
        <v>8</v>
      </c>
      <c r="AR32" s="265">
        <f t="shared" si="12"/>
        <v>4.74</v>
      </c>
      <c r="AS32" s="466"/>
      <c r="AT32" s="467" t="s">
        <v>43</v>
      </c>
      <c r="AU32" s="468" t="s">
        <v>53</v>
      </c>
      <c r="AV32" s="469" t="s">
        <v>49</v>
      </c>
      <c r="AW32" s="468" t="s">
        <v>53</v>
      </c>
      <c r="AX32" s="470">
        <v>2015</v>
      </c>
      <c r="AY32" s="471"/>
      <c r="AZ32" s="472"/>
      <c r="BA32" s="266">
        <f t="shared" si="13"/>
        <v>3</v>
      </c>
      <c r="BB32" s="473">
        <f t="shared" si="14"/>
        <v>-24187</v>
      </c>
      <c r="BC32" s="267">
        <f>VLOOKUP(Y32,'[2]- DLiêu Gốc -'!$C$1:$F$60,3,0)</f>
        <v>4.4000000000000004</v>
      </c>
      <c r="BD32" s="267">
        <f>VLOOKUP(Y32,'[2]- DLiêu Gốc -'!$C$1:$F$60,4,0)</f>
        <v>0.34</v>
      </c>
      <c r="BE32" s="474" t="str">
        <f t="shared" si="15"/>
        <v>PCTN</v>
      </c>
      <c r="BF32" s="475">
        <v>14</v>
      </c>
      <c r="BG32" s="476" t="s">
        <v>41</v>
      </c>
      <c r="BH32" s="477" t="s">
        <v>43</v>
      </c>
      <c r="BI32" s="478" t="s">
        <v>53</v>
      </c>
      <c r="BJ32" s="730">
        <v>5</v>
      </c>
      <c r="BK32" s="479" t="s">
        <v>53</v>
      </c>
      <c r="BL32" s="480">
        <v>2017</v>
      </c>
      <c r="BM32" s="481"/>
      <c r="BN32" s="482"/>
      <c r="BO32" s="483">
        <f t="shared" si="16"/>
        <v>15</v>
      </c>
      <c r="BP32" s="484" t="s">
        <v>41</v>
      </c>
      <c r="BQ32" s="485" t="s">
        <v>43</v>
      </c>
      <c r="BR32" s="468" t="s">
        <v>53</v>
      </c>
      <c r="BS32" s="486">
        <v>5</v>
      </c>
      <c r="BT32" s="487" t="s">
        <v>53</v>
      </c>
      <c r="BU32" s="51">
        <v>2018</v>
      </c>
      <c r="BV32" s="731"/>
      <c r="BW32" s="865">
        <v>5</v>
      </c>
      <c r="BX32" s="840">
        <f t="shared" si="17"/>
        <v>-24221</v>
      </c>
      <c r="BY32" s="474" t="str">
        <f t="shared" si="18"/>
        <v>- - -</v>
      </c>
      <c r="BZ32" s="732" t="str">
        <f t="shared" si="19"/>
        <v>Chánh Văn phòng Học viện, Trưởng Ban Tổ chức - Cán bộ, Trưởng Khoa Quản lý nhà nước về Kinh tế và Tài chính công</v>
      </c>
      <c r="CA32" s="3" t="str">
        <f t="shared" si="20"/>
        <v>A</v>
      </c>
      <c r="CB32" s="733" t="str">
        <f t="shared" si="21"/>
        <v>=&gt; s</v>
      </c>
      <c r="CC32" s="268">
        <f t="shared" si="22"/>
        <v>24211</v>
      </c>
      <c r="CD32" s="98" t="str">
        <f t="shared" si="23"/>
        <v>---</v>
      </c>
      <c r="CE32" s="98"/>
      <c r="CF32" s="866"/>
      <c r="CG32" s="98"/>
      <c r="CH32" s="734"/>
      <c r="CI32" s="98" t="str">
        <f t="shared" si="24"/>
        <v>- - -</v>
      </c>
      <c r="CJ32" s="269" t="str">
        <f t="shared" si="25"/>
        <v>NN</v>
      </c>
      <c r="CK32" s="735">
        <v>7</v>
      </c>
      <c r="CL32" s="736">
        <v>2012</v>
      </c>
      <c r="CM32" s="735"/>
      <c r="CN32" s="737"/>
      <c r="CO32" s="269" t="str">
        <f t="shared" si="26"/>
        <v>- - -</v>
      </c>
      <c r="CP32" s="735"/>
      <c r="CQ32" s="736"/>
      <c r="CR32" s="735"/>
      <c r="CS32" s="737"/>
      <c r="CT32" s="738" t="str">
        <f t="shared" si="27"/>
        <v>---</v>
      </c>
      <c r="CU32" s="739" t="str">
        <f t="shared" si="28"/>
        <v>/-/ /-/</v>
      </c>
      <c r="CV32" s="740">
        <f t="shared" si="29"/>
        <v>12</v>
      </c>
      <c r="CW32" s="741">
        <f t="shared" si="30"/>
        <v>2033</v>
      </c>
      <c r="CX32" s="740">
        <f t="shared" si="31"/>
        <v>9</v>
      </c>
      <c r="CY32" s="741">
        <f t="shared" si="32"/>
        <v>2033</v>
      </c>
      <c r="CZ32" s="740">
        <f t="shared" si="33"/>
        <v>6</v>
      </c>
      <c r="DA32" s="741">
        <f t="shared" si="34"/>
        <v>2033</v>
      </c>
      <c r="DB32" s="742" t="str">
        <f t="shared" si="35"/>
        <v>- - -</v>
      </c>
      <c r="DC32" s="743" t="str">
        <f t="shared" si="36"/>
        <v>. .</v>
      </c>
      <c r="DD32" s="743"/>
      <c r="DE32" s="268">
        <f t="shared" si="37"/>
        <v>720</v>
      </c>
      <c r="DF32" s="268">
        <f t="shared" si="38"/>
        <v>-23675</v>
      </c>
      <c r="DG32" s="268">
        <f t="shared" si="39"/>
        <v>-1973</v>
      </c>
      <c r="DH32" s="268" t="str">
        <f t="shared" si="40"/>
        <v>Nam dưới 35</v>
      </c>
      <c r="DI32" s="268"/>
      <c r="DJ32" s="268"/>
      <c r="DK32" s="474" t="str">
        <f t="shared" si="41"/>
        <v>Đến 30</v>
      </c>
      <c r="DL32" s="735" t="str">
        <f t="shared" si="42"/>
        <v>TD</v>
      </c>
      <c r="DM32" s="744">
        <v>2008</v>
      </c>
      <c r="DN32" s="98"/>
      <c r="DO32" s="745"/>
      <c r="DP32" s="744"/>
      <c r="DQ32" s="737"/>
      <c r="DR32" s="746"/>
      <c r="DS32" s="279"/>
      <c r="DT32" s="270"/>
      <c r="DU32" s="51"/>
      <c r="DV32" s="447" t="s">
        <v>271</v>
      </c>
      <c r="DW32" s="467" t="s">
        <v>268</v>
      </c>
      <c r="DX32" s="469" t="s">
        <v>271</v>
      </c>
      <c r="DY32" s="469" t="s">
        <v>43</v>
      </c>
      <c r="DZ32" s="469" t="s">
        <v>53</v>
      </c>
      <c r="EA32" s="747" t="s">
        <v>49</v>
      </c>
      <c r="EB32" s="469" t="s">
        <v>53</v>
      </c>
      <c r="EC32" s="748">
        <v>2012</v>
      </c>
      <c r="ED32" s="467">
        <f t="shared" si="43"/>
        <v>0</v>
      </c>
      <c r="EE32" s="469" t="str">
        <f t="shared" si="44"/>
        <v>- - -</v>
      </c>
      <c r="EF32" s="469" t="s">
        <v>43</v>
      </c>
      <c r="EG32" s="469" t="s">
        <v>53</v>
      </c>
      <c r="EH32" s="747" t="s">
        <v>49</v>
      </c>
      <c r="EI32" s="98" t="s">
        <v>53</v>
      </c>
      <c r="EJ32" s="269">
        <v>2012</v>
      </c>
      <c r="EK32" s="271">
        <v>3.66</v>
      </c>
      <c r="EL32" s="51" t="str">
        <f t="shared" si="45"/>
        <v>- - -</v>
      </c>
      <c r="EM32" s="749" t="str">
        <f t="shared" si="46"/>
        <v>---</v>
      </c>
      <c r="EN32" s="749"/>
      <c r="EO32" s="749"/>
      <c r="EP32" s="749"/>
      <c r="EQ32" s="749"/>
      <c r="ER32" s="749"/>
      <c r="ES32" s="749"/>
      <c r="ET32" s="749"/>
      <c r="EU32" s="749"/>
      <c r="EV32" s="749"/>
      <c r="EW32" s="749"/>
      <c r="EX32" s="749"/>
      <c r="EY32" s="749"/>
      <c r="EZ32" s="749"/>
      <c r="FA32" s="749"/>
      <c r="FB32" s="749"/>
      <c r="FC32" s="749"/>
      <c r="FD32" s="749"/>
      <c r="FE32" s="749"/>
      <c r="FF32" s="749"/>
      <c r="FG32" s="749"/>
      <c r="FH32" s="749"/>
      <c r="FI32" s="749"/>
      <c r="FJ32" s="749"/>
      <c r="FK32" s="750"/>
      <c r="FL32" s="750"/>
      <c r="FM32" s="750"/>
      <c r="FN32" s="750"/>
      <c r="FO32" s="750"/>
      <c r="FP32" s="867"/>
      <c r="FQ32" s="867"/>
      <c r="FR32" s="867"/>
      <c r="FS32" s="867"/>
      <c r="FT32" s="867"/>
      <c r="FU32" s="867"/>
      <c r="FV32" s="867"/>
      <c r="FW32" s="867"/>
      <c r="FX32" s="867"/>
      <c r="FY32" s="867"/>
      <c r="FZ32" s="867"/>
      <c r="GA32" s="867"/>
      <c r="GB32" s="867"/>
      <c r="GC32" s="867"/>
      <c r="GD32" s="867"/>
      <c r="GE32" s="867"/>
      <c r="GF32" s="867"/>
      <c r="GG32" s="867"/>
      <c r="GH32" s="867"/>
      <c r="GI32" s="867"/>
      <c r="GJ32" s="867"/>
      <c r="GK32" s="867"/>
      <c r="GL32" s="867"/>
      <c r="GM32" s="867"/>
      <c r="GN32" s="867"/>
      <c r="GO32" s="867"/>
      <c r="GP32" s="867"/>
      <c r="GQ32" s="867"/>
      <c r="GR32" s="867"/>
      <c r="GS32" s="867"/>
      <c r="GT32" s="867"/>
      <c r="GU32" s="867"/>
      <c r="GV32" s="867"/>
      <c r="GW32" s="867"/>
      <c r="GX32" s="867"/>
      <c r="GY32" s="867"/>
      <c r="GZ32" s="867"/>
      <c r="HA32" s="867"/>
      <c r="HB32" s="867"/>
      <c r="HC32" s="867"/>
      <c r="HD32" s="867"/>
      <c r="HE32" s="867"/>
      <c r="HF32" s="867"/>
      <c r="HG32" s="867"/>
      <c r="HH32" s="867"/>
      <c r="HI32" s="867"/>
      <c r="HJ32" s="867"/>
      <c r="HK32" s="867"/>
      <c r="HL32" s="867"/>
      <c r="HM32" s="867"/>
      <c r="HN32" s="867"/>
      <c r="HO32" s="867"/>
      <c r="HP32" s="867"/>
    </row>
    <row r="33" spans="1:224" s="488" customFormat="1" ht="27.75" customHeight="1" x14ac:dyDescent="0.2">
      <c r="A33" s="98">
        <v>277</v>
      </c>
      <c r="B33" s="864">
        <v>17</v>
      </c>
      <c r="C33" s="98"/>
      <c r="D33" s="98" t="str">
        <f t="shared" si="0"/>
        <v>Bà</v>
      </c>
      <c r="E33" s="162" t="s">
        <v>272</v>
      </c>
      <c r="F33" s="98" t="s">
        <v>64</v>
      </c>
      <c r="G33" s="437" t="s">
        <v>262</v>
      </c>
      <c r="H33" s="438" t="s">
        <v>53</v>
      </c>
      <c r="I33" s="439">
        <v>7</v>
      </c>
      <c r="J33" s="438" t="s">
        <v>53</v>
      </c>
      <c r="K33" s="440">
        <v>1977</v>
      </c>
      <c r="L33" s="441" t="s">
        <v>83</v>
      </c>
      <c r="M33" s="442" t="str">
        <f t="shared" si="1"/>
        <v>VC</v>
      </c>
      <c r="N33" s="443"/>
      <c r="O33" s="444" t="e">
        <f t="shared" si="2"/>
        <v>#N/A</v>
      </c>
      <c r="P33" s="445"/>
      <c r="Q33" s="446" t="e">
        <f>VLOOKUP(P33,'[2]- DLiêu Gốc -'!$C$2:$H$114,2,0)</f>
        <v>#N/A</v>
      </c>
      <c r="R33" s="584" t="s">
        <v>271</v>
      </c>
      <c r="S33" s="448" t="s">
        <v>164</v>
      </c>
      <c r="T33" s="449" t="str">
        <f>VLOOKUP(Y33,'[2]- DLiêu Gốc -'!$C$2:$H$60,5,0)</f>
        <v>A1</v>
      </c>
      <c r="U33" s="450" t="str">
        <f>VLOOKUP(Y33,'[2]- DLiêu Gốc -'!$C$2:$H$60,6,0)</f>
        <v>- - -</v>
      </c>
      <c r="V33" s="727" t="s">
        <v>73</v>
      </c>
      <c r="W33" s="728" t="str">
        <f t="shared" si="3"/>
        <v>Giảng viên (hạng III)</v>
      </c>
      <c r="X33" s="729" t="str">
        <f t="shared" si="4"/>
        <v>V.07.01.03</v>
      </c>
      <c r="Y33" s="451" t="s">
        <v>77</v>
      </c>
      <c r="Z33" s="451" t="str">
        <f>VLOOKUP(Y33,'[2]- DLiêu Gốc -'!$C$1:$H$132,2,0)</f>
        <v>V.07.01.03</v>
      </c>
      <c r="AA33" s="268" t="str">
        <f t="shared" si="5"/>
        <v>Lương</v>
      </c>
      <c r="AB33" s="452">
        <v>4</v>
      </c>
      <c r="AC33" s="453" t="str">
        <f t="shared" si="6"/>
        <v>/</v>
      </c>
      <c r="AD33" s="454">
        <f t="shared" si="7"/>
        <v>9</v>
      </c>
      <c r="AE33" s="455">
        <f t="shared" si="8"/>
        <v>3.33</v>
      </c>
      <c r="AF33" s="456"/>
      <c r="AG33" s="456"/>
      <c r="AH33" s="457"/>
      <c r="AI33" s="458"/>
      <c r="AJ33" s="459"/>
      <c r="AK33" s="458"/>
      <c r="AL33" s="460"/>
      <c r="AM33" s="461"/>
      <c r="AN33" s="462"/>
      <c r="AO33" s="463">
        <f t="shared" si="9"/>
        <v>5</v>
      </c>
      <c r="AP33" s="464" t="str">
        <f t="shared" si="10"/>
        <v>/</v>
      </c>
      <c r="AQ33" s="465">
        <f t="shared" si="11"/>
        <v>9</v>
      </c>
      <c r="AR33" s="265">
        <f t="shared" si="12"/>
        <v>3.66</v>
      </c>
      <c r="AS33" s="466"/>
      <c r="AT33" s="467" t="s">
        <v>43</v>
      </c>
      <c r="AU33" s="468" t="s">
        <v>53</v>
      </c>
      <c r="AV33" s="469" t="s">
        <v>45</v>
      </c>
      <c r="AW33" s="468" t="s">
        <v>53</v>
      </c>
      <c r="AX33" s="470">
        <v>2016</v>
      </c>
      <c r="AY33" s="471"/>
      <c r="AZ33" s="472"/>
      <c r="BA33" s="266">
        <f t="shared" si="13"/>
        <v>3</v>
      </c>
      <c r="BB33" s="473">
        <f t="shared" si="14"/>
        <v>-24197</v>
      </c>
      <c r="BC33" s="267">
        <f>VLOOKUP(Y33,'[2]- DLiêu Gốc -'!$C$1:$F$60,3,0)</f>
        <v>2.34</v>
      </c>
      <c r="BD33" s="267">
        <f>VLOOKUP(Y33,'[2]- DLiêu Gốc -'!$C$1:$F$60,4,0)</f>
        <v>0.33</v>
      </c>
      <c r="BE33" s="474" t="str">
        <f t="shared" si="15"/>
        <v>PCTN</v>
      </c>
      <c r="BF33" s="475">
        <v>13</v>
      </c>
      <c r="BG33" s="476" t="s">
        <v>41</v>
      </c>
      <c r="BH33" s="477" t="s">
        <v>43</v>
      </c>
      <c r="BI33" s="478" t="s">
        <v>53</v>
      </c>
      <c r="BJ33" s="730">
        <v>5</v>
      </c>
      <c r="BK33" s="479" t="s">
        <v>53</v>
      </c>
      <c r="BL33" s="480">
        <v>2017</v>
      </c>
      <c r="BM33" s="481"/>
      <c r="BN33" s="482"/>
      <c r="BO33" s="483">
        <f t="shared" si="16"/>
        <v>14</v>
      </c>
      <c r="BP33" s="484" t="s">
        <v>41</v>
      </c>
      <c r="BQ33" s="485" t="s">
        <v>43</v>
      </c>
      <c r="BR33" s="468" t="s">
        <v>53</v>
      </c>
      <c r="BS33" s="486">
        <v>5</v>
      </c>
      <c r="BT33" s="487" t="s">
        <v>53</v>
      </c>
      <c r="BU33" s="51">
        <v>2018</v>
      </c>
      <c r="BV33" s="731"/>
      <c r="BW33" s="865">
        <v>5</v>
      </c>
      <c r="BX33" s="840">
        <f t="shared" si="17"/>
        <v>-24221</v>
      </c>
      <c r="BY33" s="474" t="str">
        <f t="shared" si="18"/>
        <v>- - -</v>
      </c>
      <c r="BZ33" s="732" t="str">
        <f t="shared" si="19"/>
        <v>Chánh Văn phòng Học viện, Trưởng Ban Tổ chức - Cán bộ, Trưởng Khoa Quản lý nhà nước về Kinh tế và Tài chính công</v>
      </c>
      <c r="CA33" s="3" t="str">
        <f t="shared" si="20"/>
        <v>A</v>
      </c>
      <c r="CB33" s="733" t="str">
        <f t="shared" si="21"/>
        <v>=&gt; s</v>
      </c>
      <c r="CC33" s="268">
        <f t="shared" si="22"/>
        <v>24221</v>
      </c>
      <c r="CD33" s="98" t="str">
        <f t="shared" si="23"/>
        <v>---</v>
      </c>
      <c r="CE33" s="98"/>
      <c r="CF33" s="866"/>
      <c r="CG33" s="98"/>
      <c r="CH33" s="734"/>
      <c r="CI33" s="98" t="str">
        <f t="shared" si="24"/>
        <v>- - -</v>
      </c>
      <c r="CJ33" s="269" t="str">
        <f t="shared" si="25"/>
        <v>- - -</v>
      </c>
      <c r="CK33" s="735"/>
      <c r="CL33" s="736"/>
      <c r="CM33" s="735"/>
      <c r="CN33" s="737"/>
      <c r="CO33" s="269" t="str">
        <f t="shared" si="26"/>
        <v>- - -</v>
      </c>
      <c r="CP33" s="735"/>
      <c r="CQ33" s="736"/>
      <c r="CR33" s="735"/>
      <c r="CS33" s="737"/>
      <c r="CT33" s="738" t="str">
        <f t="shared" si="27"/>
        <v>---</v>
      </c>
      <c r="CU33" s="739" t="str">
        <f t="shared" si="28"/>
        <v>/-/ /-/</v>
      </c>
      <c r="CV33" s="740">
        <f t="shared" si="29"/>
        <v>8</v>
      </c>
      <c r="CW33" s="741">
        <f t="shared" si="30"/>
        <v>2032</v>
      </c>
      <c r="CX33" s="740">
        <f t="shared" si="31"/>
        <v>5</v>
      </c>
      <c r="CY33" s="741">
        <f t="shared" si="32"/>
        <v>2032</v>
      </c>
      <c r="CZ33" s="740">
        <f t="shared" si="33"/>
        <v>2</v>
      </c>
      <c r="DA33" s="741">
        <f t="shared" si="34"/>
        <v>2032</v>
      </c>
      <c r="DB33" s="742" t="str">
        <f t="shared" si="35"/>
        <v>- - -</v>
      </c>
      <c r="DC33" s="743" t="str">
        <f t="shared" si="36"/>
        <v>. .</v>
      </c>
      <c r="DD33" s="743"/>
      <c r="DE33" s="268">
        <f t="shared" si="37"/>
        <v>660</v>
      </c>
      <c r="DF33" s="268">
        <f t="shared" si="38"/>
        <v>-23719</v>
      </c>
      <c r="DG33" s="268">
        <f t="shared" si="39"/>
        <v>-1977</v>
      </c>
      <c r="DH33" s="268" t="str">
        <f t="shared" si="40"/>
        <v>Nữ dưới 30</v>
      </c>
      <c r="DI33" s="268"/>
      <c r="DJ33" s="268"/>
      <c r="DK33" s="474" t="str">
        <f t="shared" si="41"/>
        <v>Đến 30</v>
      </c>
      <c r="DL33" s="735" t="str">
        <f t="shared" si="42"/>
        <v>--</v>
      </c>
      <c r="DM33" s="744"/>
      <c r="DN33" s="98"/>
      <c r="DO33" s="745"/>
      <c r="DP33" s="744"/>
      <c r="DQ33" s="737"/>
      <c r="DR33" s="746"/>
      <c r="DS33" s="279"/>
      <c r="DT33" s="270"/>
      <c r="DU33" s="51"/>
      <c r="DV33" s="447" t="s">
        <v>271</v>
      </c>
      <c r="DW33" s="467" t="s">
        <v>268</v>
      </c>
      <c r="DX33" s="469" t="s">
        <v>271</v>
      </c>
      <c r="DY33" s="469" t="s">
        <v>43</v>
      </c>
      <c r="DZ33" s="469" t="s">
        <v>53</v>
      </c>
      <c r="EA33" s="747" t="s">
        <v>45</v>
      </c>
      <c r="EB33" s="469" t="s">
        <v>53</v>
      </c>
      <c r="EC33" s="748">
        <v>2013</v>
      </c>
      <c r="ED33" s="467">
        <f t="shared" si="43"/>
        <v>0</v>
      </c>
      <c r="EE33" s="469" t="str">
        <f t="shared" si="44"/>
        <v>- - -</v>
      </c>
      <c r="EF33" s="469" t="s">
        <v>43</v>
      </c>
      <c r="EG33" s="469" t="s">
        <v>53</v>
      </c>
      <c r="EH33" s="747" t="s">
        <v>45</v>
      </c>
      <c r="EI33" s="98" t="s">
        <v>53</v>
      </c>
      <c r="EJ33" s="269">
        <v>2013</v>
      </c>
      <c r="EK33" s="271"/>
      <c r="EL33" s="51" t="str">
        <f t="shared" si="45"/>
        <v>- - -</v>
      </c>
      <c r="EM33" s="749" t="str">
        <f t="shared" si="46"/>
        <v>---</v>
      </c>
      <c r="EN33" s="749"/>
      <c r="EO33" s="749"/>
      <c r="EP33" s="749"/>
      <c r="EQ33" s="749"/>
      <c r="ER33" s="749"/>
      <c r="ES33" s="749"/>
      <c r="ET33" s="749"/>
      <c r="EU33" s="749"/>
      <c r="EV33" s="749"/>
      <c r="EW33" s="749"/>
      <c r="EX33" s="749"/>
      <c r="EY33" s="749"/>
      <c r="EZ33" s="749"/>
      <c r="FA33" s="749"/>
      <c r="FB33" s="749"/>
      <c r="FC33" s="749"/>
      <c r="FD33" s="749"/>
      <c r="FE33" s="749"/>
      <c r="FF33" s="749"/>
      <c r="FG33" s="749"/>
      <c r="FH33" s="749"/>
      <c r="FI33" s="749"/>
      <c r="FJ33" s="749"/>
      <c r="FK33" s="750"/>
      <c r="FL33" s="750"/>
      <c r="FM33" s="750"/>
      <c r="FN33" s="750"/>
      <c r="FO33" s="750"/>
      <c r="FP33" s="867"/>
      <c r="FQ33" s="867"/>
      <c r="FR33" s="867"/>
      <c r="FS33" s="867"/>
      <c r="FT33" s="867"/>
      <c r="FU33" s="867"/>
      <c r="FV33" s="867"/>
      <c r="FW33" s="867"/>
      <c r="FX33" s="867"/>
      <c r="FY33" s="867"/>
      <c r="FZ33" s="867"/>
      <c r="GA33" s="867"/>
      <c r="GB33" s="867"/>
      <c r="GC33" s="867"/>
      <c r="GD33" s="867"/>
      <c r="GE33" s="867"/>
      <c r="GF33" s="867"/>
      <c r="GG33" s="867"/>
      <c r="GH33" s="867"/>
      <c r="GI33" s="867"/>
      <c r="GJ33" s="867"/>
      <c r="GK33" s="867"/>
      <c r="GL33" s="867"/>
      <c r="GM33" s="867"/>
      <c r="GN33" s="867"/>
      <c r="GO33" s="867"/>
      <c r="GP33" s="867"/>
      <c r="GQ33" s="867"/>
      <c r="GR33" s="867"/>
      <c r="GS33" s="867"/>
      <c r="GT33" s="867"/>
      <c r="GU33" s="867"/>
      <c r="GV33" s="867"/>
      <c r="GW33" s="867"/>
      <c r="GX33" s="867"/>
      <c r="GY33" s="867"/>
      <c r="GZ33" s="867"/>
      <c r="HA33" s="867"/>
      <c r="HB33" s="867"/>
      <c r="HC33" s="867"/>
      <c r="HD33" s="867"/>
      <c r="HE33" s="867"/>
      <c r="HF33" s="867"/>
      <c r="HG33" s="867"/>
      <c r="HH33" s="867"/>
      <c r="HI33" s="867"/>
      <c r="HJ33" s="867"/>
      <c r="HK33" s="867"/>
      <c r="HL33" s="867"/>
      <c r="HM33" s="867"/>
      <c r="HN33" s="867"/>
      <c r="HO33" s="867"/>
      <c r="HP33" s="867"/>
    </row>
    <row r="34" spans="1:224" s="488" customFormat="1" ht="26.25" customHeight="1" x14ac:dyDescent="0.2">
      <c r="A34" s="98">
        <v>291</v>
      </c>
      <c r="B34" s="864">
        <v>18</v>
      </c>
      <c r="C34" s="98"/>
      <c r="D34" s="98" t="str">
        <f t="shared" si="0"/>
        <v>Bà</v>
      </c>
      <c r="E34" s="162" t="s">
        <v>273</v>
      </c>
      <c r="F34" s="98" t="s">
        <v>64</v>
      </c>
      <c r="G34" s="437" t="s">
        <v>151</v>
      </c>
      <c r="H34" s="438" t="s">
        <v>53</v>
      </c>
      <c r="I34" s="439" t="s">
        <v>44</v>
      </c>
      <c r="J34" s="438" t="s">
        <v>53</v>
      </c>
      <c r="K34" s="440">
        <v>1977</v>
      </c>
      <c r="L34" s="441" t="s">
        <v>83</v>
      </c>
      <c r="M34" s="442" t="str">
        <f t="shared" si="1"/>
        <v>VC</v>
      </c>
      <c r="N34" s="443"/>
      <c r="O34" s="444" t="e">
        <f t="shared" si="2"/>
        <v>#N/A</v>
      </c>
      <c r="P34" s="445"/>
      <c r="Q34" s="446" t="e">
        <f>VLOOKUP(P34,'[2]- DLiêu Gốc -'!$C$2:$H$114,2,0)</f>
        <v>#N/A</v>
      </c>
      <c r="R34" s="584" t="s">
        <v>142</v>
      </c>
      <c r="S34" s="448" t="s">
        <v>143</v>
      </c>
      <c r="T34" s="449" t="str">
        <f>VLOOKUP(Y34,'[2]- DLiêu Gốc -'!$C$2:$H$60,5,0)</f>
        <v>A1</v>
      </c>
      <c r="U34" s="450" t="str">
        <f>VLOOKUP(Y34,'[2]- DLiêu Gốc -'!$C$2:$H$60,6,0)</f>
        <v>- - -</v>
      </c>
      <c r="V34" s="727" t="s">
        <v>73</v>
      </c>
      <c r="W34" s="728" t="str">
        <f t="shared" si="3"/>
        <v>Giảng viên (hạng III)</v>
      </c>
      <c r="X34" s="729" t="str">
        <f t="shared" si="4"/>
        <v>V.07.01.03</v>
      </c>
      <c r="Y34" s="451" t="s">
        <v>77</v>
      </c>
      <c r="Z34" s="451" t="str">
        <f>VLOOKUP(Y34,'[2]- DLiêu Gốc -'!$C$1:$H$132,2,0)</f>
        <v>V.07.01.03</v>
      </c>
      <c r="AA34" s="268" t="str">
        <f t="shared" si="5"/>
        <v>Lương</v>
      </c>
      <c r="AB34" s="452">
        <v>5</v>
      </c>
      <c r="AC34" s="453" t="str">
        <f t="shared" si="6"/>
        <v>/</v>
      </c>
      <c r="AD34" s="454">
        <f t="shared" si="7"/>
        <v>9</v>
      </c>
      <c r="AE34" s="455">
        <f t="shared" si="8"/>
        <v>3.66</v>
      </c>
      <c r="AF34" s="456"/>
      <c r="AG34" s="456"/>
      <c r="AH34" s="457"/>
      <c r="AI34" s="458"/>
      <c r="AJ34" s="459"/>
      <c r="AK34" s="458"/>
      <c r="AL34" s="460"/>
      <c r="AM34" s="461"/>
      <c r="AN34" s="462"/>
      <c r="AO34" s="463">
        <f t="shared" si="9"/>
        <v>6</v>
      </c>
      <c r="AP34" s="464" t="str">
        <f t="shared" si="10"/>
        <v>/</v>
      </c>
      <c r="AQ34" s="465">
        <f t="shared" si="11"/>
        <v>9</v>
      </c>
      <c r="AR34" s="265">
        <f t="shared" si="12"/>
        <v>3.99</v>
      </c>
      <c r="AS34" s="466"/>
      <c r="AT34" s="467" t="s">
        <v>43</v>
      </c>
      <c r="AU34" s="468" t="s">
        <v>53</v>
      </c>
      <c r="AV34" s="469" t="s">
        <v>48</v>
      </c>
      <c r="AW34" s="468" t="s">
        <v>53</v>
      </c>
      <c r="AX34" s="470">
        <v>2017</v>
      </c>
      <c r="AY34" s="471"/>
      <c r="AZ34" s="472"/>
      <c r="BA34" s="266">
        <f t="shared" si="13"/>
        <v>3</v>
      </c>
      <c r="BB34" s="473">
        <f t="shared" si="14"/>
        <v>-24207</v>
      </c>
      <c r="BC34" s="267">
        <f>VLOOKUP(Y34,'[2]- DLiêu Gốc -'!$C$1:$F$60,3,0)</f>
        <v>2.34</v>
      </c>
      <c r="BD34" s="267">
        <f>VLOOKUP(Y34,'[2]- DLiêu Gốc -'!$C$1:$F$60,4,0)</f>
        <v>0.33</v>
      </c>
      <c r="BE34" s="474" t="str">
        <f t="shared" si="15"/>
        <v>PCTN</v>
      </c>
      <c r="BF34" s="475">
        <v>14</v>
      </c>
      <c r="BG34" s="476" t="s">
        <v>41</v>
      </c>
      <c r="BH34" s="477" t="s">
        <v>43</v>
      </c>
      <c r="BI34" s="478" t="s">
        <v>53</v>
      </c>
      <c r="BJ34" s="730">
        <v>5</v>
      </c>
      <c r="BK34" s="479" t="s">
        <v>53</v>
      </c>
      <c r="BL34" s="480">
        <v>2017</v>
      </c>
      <c r="BM34" s="481"/>
      <c r="BN34" s="482"/>
      <c r="BO34" s="483">
        <f t="shared" si="16"/>
        <v>15</v>
      </c>
      <c r="BP34" s="484" t="s">
        <v>41</v>
      </c>
      <c r="BQ34" s="485" t="s">
        <v>43</v>
      </c>
      <c r="BR34" s="468" t="s">
        <v>53</v>
      </c>
      <c r="BS34" s="486">
        <v>5</v>
      </c>
      <c r="BT34" s="487" t="s">
        <v>53</v>
      </c>
      <c r="BU34" s="51">
        <v>2018</v>
      </c>
      <c r="BV34" s="731"/>
      <c r="BW34" s="865">
        <v>5</v>
      </c>
      <c r="BX34" s="840">
        <f t="shared" si="17"/>
        <v>-24221</v>
      </c>
      <c r="BY34" s="474" t="str">
        <f t="shared" si="18"/>
        <v>- - -</v>
      </c>
      <c r="BZ34" s="732" t="str">
        <f t="shared" si="19"/>
        <v>Chánh Văn phòng Học viện, Trưởng Ban Tổ chức - Cán bộ, Trưởng Khoa Quản lý nhà nước về Xã hội</v>
      </c>
      <c r="CA34" s="3" t="str">
        <f t="shared" si="20"/>
        <v>A</v>
      </c>
      <c r="CB34" s="733" t="str">
        <f t="shared" si="21"/>
        <v>=&gt; s</v>
      </c>
      <c r="CC34" s="268">
        <f t="shared" si="22"/>
        <v>24231</v>
      </c>
      <c r="CD34" s="98" t="str">
        <f t="shared" si="23"/>
        <v>---</v>
      </c>
      <c r="CE34" s="98"/>
      <c r="CF34" s="866"/>
      <c r="CG34" s="98"/>
      <c r="CH34" s="734"/>
      <c r="CI34" s="98" t="str">
        <f t="shared" si="24"/>
        <v>- - -</v>
      </c>
      <c r="CJ34" s="269" t="str">
        <f t="shared" si="25"/>
        <v>- - -</v>
      </c>
      <c r="CK34" s="735"/>
      <c r="CL34" s="736"/>
      <c r="CM34" s="735"/>
      <c r="CN34" s="737"/>
      <c r="CO34" s="269" t="str">
        <f t="shared" si="26"/>
        <v>- - -</v>
      </c>
      <c r="CP34" s="735"/>
      <c r="CQ34" s="736"/>
      <c r="CR34" s="735"/>
      <c r="CS34" s="737"/>
      <c r="CT34" s="738" t="str">
        <f t="shared" si="27"/>
        <v>---</v>
      </c>
      <c r="CU34" s="739" t="str">
        <f t="shared" si="28"/>
        <v>/-/ /-/</v>
      </c>
      <c r="CV34" s="740">
        <f t="shared" si="29"/>
        <v>3</v>
      </c>
      <c r="CW34" s="741">
        <f t="shared" si="30"/>
        <v>2032</v>
      </c>
      <c r="CX34" s="740">
        <f t="shared" si="31"/>
        <v>12</v>
      </c>
      <c r="CY34" s="741">
        <f t="shared" si="32"/>
        <v>2031</v>
      </c>
      <c r="CZ34" s="740">
        <f t="shared" si="33"/>
        <v>9</v>
      </c>
      <c r="DA34" s="741">
        <f t="shared" si="34"/>
        <v>2031</v>
      </c>
      <c r="DB34" s="742" t="str">
        <f t="shared" si="35"/>
        <v>- - -</v>
      </c>
      <c r="DC34" s="743" t="str">
        <f t="shared" si="36"/>
        <v>. .</v>
      </c>
      <c r="DD34" s="743"/>
      <c r="DE34" s="268">
        <f t="shared" si="37"/>
        <v>660</v>
      </c>
      <c r="DF34" s="268">
        <f t="shared" si="38"/>
        <v>-23714</v>
      </c>
      <c r="DG34" s="268">
        <f t="shared" si="39"/>
        <v>-1977</v>
      </c>
      <c r="DH34" s="268" t="str">
        <f t="shared" si="40"/>
        <v>Nữ dưới 30</v>
      </c>
      <c r="DI34" s="268"/>
      <c r="DJ34" s="268"/>
      <c r="DK34" s="474" t="str">
        <f t="shared" si="41"/>
        <v>Đến 30</v>
      </c>
      <c r="DL34" s="735" t="str">
        <f t="shared" si="42"/>
        <v>TD</v>
      </c>
      <c r="DM34" s="744">
        <v>2008</v>
      </c>
      <c r="DN34" s="98"/>
      <c r="DO34" s="745"/>
      <c r="DP34" s="744"/>
      <c r="DQ34" s="737"/>
      <c r="DR34" s="746"/>
      <c r="DS34" s="279"/>
      <c r="DT34" s="270"/>
      <c r="DU34" s="51"/>
      <c r="DV34" s="447" t="s">
        <v>142</v>
      </c>
      <c r="DW34" s="467" t="s">
        <v>143</v>
      </c>
      <c r="DX34" s="469" t="s">
        <v>142</v>
      </c>
      <c r="DY34" s="469" t="s">
        <v>43</v>
      </c>
      <c r="DZ34" s="469" t="s">
        <v>53</v>
      </c>
      <c r="EA34" s="747" t="s">
        <v>48</v>
      </c>
      <c r="EB34" s="469" t="s">
        <v>53</v>
      </c>
      <c r="EC34" s="748" t="s">
        <v>55</v>
      </c>
      <c r="ED34" s="467">
        <f t="shared" si="43"/>
        <v>0</v>
      </c>
      <c r="EE34" s="469" t="str">
        <f t="shared" si="44"/>
        <v>- - -</v>
      </c>
      <c r="EF34" s="469" t="s">
        <v>43</v>
      </c>
      <c r="EG34" s="469" t="s">
        <v>53</v>
      </c>
      <c r="EH34" s="747" t="s">
        <v>48</v>
      </c>
      <c r="EI34" s="98" t="s">
        <v>53</v>
      </c>
      <c r="EJ34" s="269" t="s">
        <v>55</v>
      </c>
      <c r="EK34" s="271"/>
      <c r="EL34" s="51" t="str">
        <f t="shared" si="45"/>
        <v>- - -</v>
      </c>
      <c r="EM34" s="749" t="str">
        <f t="shared" si="46"/>
        <v>---</v>
      </c>
      <c r="EN34" s="749"/>
      <c r="EO34" s="749"/>
      <c r="EP34" s="749"/>
      <c r="EQ34" s="749"/>
      <c r="ER34" s="749"/>
      <c r="ES34" s="749"/>
      <c r="ET34" s="749"/>
      <c r="EU34" s="749"/>
      <c r="EV34" s="749"/>
      <c r="EW34" s="749"/>
      <c r="EX34" s="749"/>
      <c r="EY34" s="749"/>
      <c r="EZ34" s="749"/>
      <c r="FA34" s="749"/>
      <c r="FB34" s="749"/>
      <c r="FC34" s="749"/>
      <c r="FD34" s="749"/>
      <c r="FE34" s="749"/>
      <c r="FF34" s="749"/>
      <c r="FG34" s="749"/>
      <c r="FH34" s="749"/>
      <c r="FI34" s="749"/>
      <c r="FJ34" s="749"/>
      <c r="FK34" s="750"/>
      <c r="FL34" s="750"/>
      <c r="FM34" s="750"/>
      <c r="FN34" s="750"/>
      <c r="FO34" s="750"/>
      <c r="FP34" s="867"/>
      <c r="FQ34" s="867"/>
      <c r="FR34" s="867"/>
      <c r="FS34" s="867"/>
      <c r="FT34" s="867"/>
      <c r="FU34" s="867"/>
      <c r="FV34" s="867"/>
      <c r="FW34" s="867"/>
      <c r="FX34" s="867"/>
      <c r="FY34" s="867"/>
      <c r="FZ34" s="867"/>
      <c r="GA34" s="867"/>
      <c r="GB34" s="867"/>
      <c r="GC34" s="867"/>
      <c r="GD34" s="867"/>
      <c r="GE34" s="867"/>
      <c r="GF34" s="867"/>
      <c r="GG34" s="867"/>
      <c r="GH34" s="867"/>
      <c r="GI34" s="867"/>
      <c r="GJ34" s="867"/>
      <c r="GK34" s="867"/>
      <c r="GL34" s="867"/>
      <c r="GM34" s="867"/>
      <c r="GN34" s="867"/>
      <c r="GO34" s="867"/>
      <c r="GP34" s="867"/>
      <c r="GQ34" s="867"/>
      <c r="GR34" s="867"/>
      <c r="GS34" s="867"/>
      <c r="GT34" s="867"/>
      <c r="GU34" s="867"/>
      <c r="GV34" s="867"/>
      <c r="GW34" s="867"/>
      <c r="GX34" s="867"/>
      <c r="GY34" s="867"/>
      <c r="GZ34" s="867"/>
      <c r="HA34" s="867"/>
      <c r="HB34" s="867"/>
      <c r="HC34" s="867"/>
      <c r="HD34" s="867"/>
      <c r="HE34" s="867"/>
      <c r="HF34" s="867"/>
      <c r="HG34" s="867"/>
      <c r="HH34" s="867"/>
      <c r="HI34" s="867"/>
      <c r="HJ34" s="867"/>
      <c r="HK34" s="867"/>
      <c r="HL34" s="867"/>
      <c r="HM34" s="867"/>
      <c r="HN34" s="867"/>
      <c r="HO34" s="867"/>
      <c r="HP34" s="867"/>
    </row>
    <row r="35" spans="1:224" s="488" customFormat="1" ht="26.25" customHeight="1" x14ac:dyDescent="0.2">
      <c r="A35" s="98">
        <v>293</v>
      </c>
      <c r="B35" s="864">
        <v>19</v>
      </c>
      <c r="C35" s="98"/>
      <c r="D35" s="98" t="str">
        <f t="shared" si="0"/>
        <v>Bà</v>
      </c>
      <c r="E35" s="162" t="s">
        <v>141</v>
      </c>
      <c r="F35" s="98" t="s">
        <v>64</v>
      </c>
      <c r="G35" s="437" t="s">
        <v>33</v>
      </c>
      <c r="H35" s="438" t="s">
        <v>53</v>
      </c>
      <c r="I35" s="439">
        <v>9</v>
      </c>
      <c r="J35" s="438" t="s">
        <v>53</v>
      </c>
      <c r="K35" s="440">
        <v>1977</v>
      </c>
      <c r="L35" s="441" t="s">
        <v>83</v>
      </c>
      <c r="M35" s="442" t="str">
        <f t="shared" si="1"/>
        <v>VC</v>
      </c>
      <c r="N35" s="443"/>
      <c r="O35" s="444" t="str">
        <f t="shared" si="2"/>
        <v>CVụ</v>
      </c>
      <c r="P35" s="445" t="s">
        <v>30</v>
      </c>
      <c r="Q35" s="446">
        <f>VLOOKUP(P35,'[2]- DLiêu Gốc -'!$C$2:$H$114,2,0)</f>
        <v>0.4</v>
      </c>
      <c r="R35" s="584" t="s">
        <v>142</v>
      </c>
      <c r="S35" s="448" t="s">
        <v>143</v>
      </c>
      <c r="T35" s="449" t="str">
        <f>VLOOKUP(Y35,'[2]- DLiêu Gốc -'!$C$2:$H$60,5,0)</f>
        <v>A1</v>
      </c>
      <c r="U35" s="450" t="str">
        <f>VLOOKUP(Y35,'[2]- DLiêu Gốc -'!$C$2:$H$60,6,0)</f>
        <v>- - -</v>
      </c>
      <c r="V35" s="727" t="s">
        <v>73</v>
      </c>
      <c r="W35" s="728" t="str">
        <f t="shared" si="3"/>
        <v>Giảng viên (hạng III)</v>
      </c>
      <c r="X35" s="729" t="str">
        <f t="shared" si="4"/>
        <v>V.07.01.03</v>
      </c>
      <c r="Y35" s="451" t="s">
        <v>77</v>
      </c>
      <c r="Z35" s="451" t="str">
        <f>VLOOKUP(Y35,'[2]- DLiêu Gốc -'!$C$1:$H$132,2,0)</f>
        <v>V.07.01.03</v>
      </c>
      <c r="AA35" s="268" t="str">
        <f t="shared" si="5"/>
        <v>Lương</v>
      </c>
      <c r="AB35" s="452">
        <v>6</v>
      </c>
      <c r="AC35" s="453" t="str">
        <f t="shared" si="6"/>
        <v>/</v>
      </c>
      <c r="AD35" s="454">
        <f t="shared" si="7"/>
        <v>9</v>
      </c>
      <c r="AE35" s="455">
        <f t="shared" si="8"/>
        <v>3.99</v>
      </c>
      <c r="AF35" s="456"/>
      <c r="AG35" s="456"/>
      <c r="AH35" s="457" t="s">
        <v>43</v>
      </c>
      <c r="AI35" s="458" t="s">
        <v>53</v>
      </c>
      <c r="AJ35" s="459" t="s">
        <v>61</v>
      </c>
      <c r="AK35" s="458" t="s">
        <v>53</v>
      </c>
      <c r="AL35" s="460">
        <v>2015</v>
      </c>
      <c r="AM35" s="461"/>
      <c r="AN35" s="462"/>
      <c r="AO35" s="463">
        <f t="shared" si="9"/>
        <v>7</v>
      </c>
      <c r="AP35" s="464" t="str">
        <f t="shared" si="10"/>
        <v>/</v>
      </c>
      <c r="AQ35" s="465">
        <f t="shared" si="11"/>
        <v>9</v>
      </c>
      <c r="AR35" s="265">
        <f t="shared" si="12"/>
        <v>4.32</v>
      </c>
      <c r="AS35" s="466"/>
      <c r="AT35" s="467" t="s">
        <v>43</v>
      </c>
      <c r="AU35" s="468" t="s">
        <v>53</v>
      </c>
      <c r="AV35" s="469" t="s">
        <v>61</v>
      </c>
      <c r="AW35" s="468" t="s">
        <v>53</v>
      </c>
      <c r="AX35" s="470">
        <v>2018</v>
      </c>
      <c r="AY35" s="471"/>
      <c r="AZ35" s="472">
        <v>4</v>
      </c>
      <c r="BA35" s="266">
        <f t="shared" si="13"/>
        <v>3</v>
      </c>
      <c r="BB35" s="473">
        <f t="shared" si="14"/>
        <v>-24220</v>
      </c>
      <c r="BC35" s="267">
        <f>VLOOKUP(Y35,'[2]- DLiêu Gốc -'!$C$1:$F$60,3,0)</f>
        <v>2.34</v>
      </c>
      <c r="BD35" s="267">
        <f>VLOOKUP(Y35,'[2]- DLiêu Gốc -'!$C$1:$F$60,4,0)</f>
        <v>0.33</v>
      </c>
      <c r="BE35" s="474" t="str">
        <f t="shared" si="15"/>
        <v>PCTN</v>
      </c>
      <c r="BF35" s="475">
        <v>14</v>
      </c>
      <c r="BG35" s="476" t="s">
        <v>41</v>
      </c>
      <c r="BH35" s="477" t="s">
        <v>43</v>
      </c>
      <c r="BI35" s="478" t="s">
        <v>53</v>
      </c>
      <c r="BJ35" s="730">
        <v>5</v>
      </c>
      <c r="BK35" s="479" t="s">
        <v>53</v>
      </c>
      <c r="BL35" s="480">
        <v>2017</v>
      </c>
      <c r="BM35" s="481"/>
      <c r="BN35" s="482"/>
      <c r="BO35" s="483">
        <f t="shared" si="16"/>
        <v>15</v>
      </c>
      <c r="BP35" s="484" t="s">
        <v>41</v>
      </c>
      <c r="BQ35" s="485" t="s">
        <v>43</v>
      </c>
      <c r="BR35" s="468" t="s">
        <v>53</v>
      </c>
      <c r="BS35" s="486">
        <v>5</v>
      </c>
      <c r="BT35" s="487" t="s">
        <v>53</v>
      </c>
      <c r="BU35" s="51">
        <v>2018</v>
      </c>
      <c r="BV35" s="731"/>
      <c r="BW35" s="865">
        <v>5</v>
      </c>
      <c r="BX35" s="840">
        <f t="shared" si="17"/>
        <v>-24221</v>
      </c>
      <c r="BY35" s="474" t="str">
        <f t="shared" si="18"/>
        <v>- - -</v>
      </c>
      <c r="BZ35" s="732" t="str">
        <f t="shared" si="19"/>
        <v>Chánh Văn phòng Học viện, Trưởng Ban Tổ chức - Cán bộ, Trưởng Khoa Quản lý nhà nước về Xã hội</v>
      </c>
      <c r="CA35" s="3" t="str">
        <f t="shared" si="20"/>
        <v>A</v>
      </c>
      <c r="CB35" s="733" t="str">
        <f t="shared" si="21"/>
        <v>=&gt; s</v>
      </c>
      <c r="CC35" s="268">
        <f t="shared" si="22"/>
        <v>24244</v>
      </c>
      <c r="CD35" s="98" t="str">
        <f t="shared" si="23"/>
        <v>S</v>
      </c>
      <c r="CE35" s="98">
        <v>2012</v>
      </c>
      <c r="CF35" s="866" t="s">
        <v>75</v>
      </c>
      <c r="CG35" s="98"/>
      <c r="CH35" s="734"/>
      <c r="CI35" s="98" t="str">
        <f t="shared" si="24"/>
        <v>Cùg Ng</v>
      </c>
      <c r="CJ35" s="269" t="str">
        <f t="shared" si="25"/>
        <v>- - -</v>
      </c>
      <c r="CK35" s="735"/>
      <c r="CL35" s="736"/>
      <c r="CM35" s="735"/>
      <c r="CN35" s="737"/>
      <c r="CO35" s="269" t="str">
        <f t="shared" si="26"/>
        <v>- - -</v>
      </c>
      <c r="CP35" s="735"/>
      <c r="CQ35" s="736"/>
      <c r="CR35" s="735"/>
      <c r="CS35" s="737"/>
      <c r="CT35" s="738" t="str">
        <f t="shared" si="27"/>
        <v>---</v>
      </c>
      <c r="CU35" s="739" t="str">
        <f t="shared" si="28"/>
        <v>/-/ /-/</v>
      </c>
      <c r="CV35" s="740">
        <f t="shared" si="29"/>
        <v>10</v>
      </c>
      <c r="CW35" s="741">
        <f t="shared" si="30"/>
        <v>2032</v>
      </c>
      <c r="CX35" s="740">
        <f t="shared" si="31"/>
        <v>7</v>
      </c>
      <c r="CY35" s="741">
        <f t="shared" si="32"/>
        <v>2032</v>
      </c>
      <c r="CZ35" s="740">
        <f t="shared" si="33"/>
        <v>4</v>
      </c>
      <c r="DA35" s="741">
        <f t="shared" si="34"/>
        <v>2032</v>
      </c>
      <c r="DB35" s="742" t="str">
        <f t="shared" si="35"/>
        <v>- - -</v>
      </c>
      <c r="DC35" s="743" t="str">
        <f t="shared" si="36"/>
        <v>. .</v>
      </c>
      <c r="DD35" s="743"/>
      <c r="DE35" s="268">
        <f t="shared" si="37"/>
        <v>660</v>
      </c>
      <c r="DF35" s="268">
        <f t="shared" si="38"/>
        <v>-23721</v>
      </c>
      <c r="DG35" s="268">
        <f t="shared" si="39"/>
        <v>-1977</v>
      </c>
      <c r="DH35" s="268" t="str">
        <f t="shared" si="40"/>
        <v>Nữ dưới 30</v>
      </c>
      <c r="DI35" s="268"/>
      <c r="DJ35" s="268"/>
      <c r="DK35" s="474" t="str">
        <f t="shared" si="41"/>
        <v>Đến 30</v>
      </c>
      <c r="DL35" s="735" t="str">
        <f t="shared" si="42"/>
        <v>TD</v>
      </c>
      <c r="DM35" s="744">
        <v>2008</v>
      </c>
      <c r="DN35" s="98"/>
      <c r="DO35" s="745"/>
      <c r="DP35" s="744"/>
      <c r="DQ35" s="737"/>
      <c r="DR35" s="746"/>
      <c r="DS35" s="279"/>
      <c r="DT35" s="270"/>
      <c r="DU35" s="51"/>
      <c r="DV35" s="447" t="s">
        <v>142</v>
      </c>
      <c r="DW35" s="467" t="s">
        <v>143</v>
      </c>
      <c r="DX35" s="469" t="s">
        <v>142</v>
      </c>
      <c r="DY35" s="469" t="s">
        <v>43</v>
      </c>
      <c r="DZ35" s="469" t="s">
        <v>53</v>
      </c>
      <c r="EA35" s="747" t="s">
        <v>61</v>
      </c>
      <c r="EB35" s="469" t="s">
        <v>53</v>
      </c>
      <c r="EC35" s="748">
        <v>2012</v>
      </c>
      <c r="ED35" s="467">
        <f t="shared" si="43"/>
        <v>0</v>
      </c>
      <c r="EE35" s="469" t="str">
        <f t="shared" si="44"/>
        <v>- - -</v>
      </c>
      <c r="EF35" s="469" t="s">
        <v>43</v>
      </c>
      <c r="EG35" s="469" t="s">
        <v>53</v>
      </c>
      <c r="EH35" s="747" t="s">
        <v>61</v>
      </c>
      <c r="EI35" s="98" t="s">
        <v>53</v>
      </c>
      <c r="EJ35" s="269">
        <v>2012</v>
      </c>
      <c r="EK35" s="271"/>
      <c r="EL35" s="51" t="str">
        <f t="shared" si="45"/>
        <v>- - -</v>
      </c>
      <c r="EM35" s="749" t="str">
        <f t="shared" si="46"/>
        <v>---</v>
      </c>
      <c r="EN35" s="749"/>
      <c r="EO35" s="749"/>
      <c r="EP35" s="749"/>
      <c r="EQ35" s="749"/>
      <c r="ER35" s="749"/>
      <c r="ES35" s="749"/>
      <c r="ET35" s="749"/>
      <c r="EU35" s="749"/>
      <c r="EV35" s="749"/>
      <c r="EW35" s="749"/>
      <c r="EX35" s="749"/>
      <c r="EY35" s="749"/>
      <c r="EZ35" s="749"/>
      <c r="FA35" s="749"/>
      <c r="FB35" s="749"/>
      <c r="FC35" s="749"/>
      <c r="FD35" s="749"/>
      <c r="FE35" s="749"/>
      <c r="FF35" s="749"/>
      <c r="FG35" s="749"/>
      <c r="FH35" s="749"/>
      <c r="FI35" s="749"/>
      <c r="FJ35" s="749"/>
      <c r="FK35" s="750"/>
      <c r="FL35" s="750"/>
      <c r="FM35" s="750"/>
      <c r="FN35" s="750"/>
      <c r="FO35" s="750"/>
      <c r="FP35" s="867"/>
      <c r="FQ35" s="867"/>
      <c r="FR35" s="867"/>
      <c r="FS35" s="867"/>
      <c r="FT35" s="867"/>
      <c r="FU35" s="867"/>
      <c r="FV35" s="867"/>
      <c r="FW35" s="867"/>
      <c r="FX35" s="867"/>
      <c r="FY35" s="867"/>
      <c r="FZ35" s="867"/>
      <c r="GA35" s="867"/>
      <c r="GB35" s="867"/>
      <c r="GC35" s="867"/>
      <c r="GD35" s="867"/>
      <c r="GE35" s="867"/>
      <c r="GF35" s="867"/>
      <c r="GG35" s="867"/>
      <c r="GH35" s="867"/>
      <c r="GI35" s="867"/>
      <c r="GJ35" s="867"/>
      <c r="GK35" s="867"/>
      <c r="GL35" s="867"/>
      <c r="GM35" s="867"/>
      <c r="GN35" s="867"/>
      <c r="GO35" s="867"/>
      <c r="GP35" s="867"/>
      <c r="GQ35" s="867"/>
      <c r="GR35" s="867"/>
      <c r="GS35" s="867"/>
      <c r="GT35" s="867"/>
      <c r="GU35" s="867"/>
      <c r="GV35" s="867"/>
      <c r="GW35" s="867"/>
      <c r="GX35" s="867"/>
      <c r="GY35" s="867"/>
      <c r="GZ35" s="867"/>
      <c r="HA35" s="867"/>
      <c r="HB35" s="867"/>
      <c r="HC35" s="867"/>
      <c r="HD35" s="867"/>
      <c r="HE35" s="867"/>
      <c r="HF35" s="867"/>
      <c r="HG35" s="867"/>
      <c r="HH35" s="867"/>
      <c r="HI35" s="867"/>
      <c r="HJ35" s="867"/>
      <c r="HK35" s="867"/>
      <c r="HL35" s="867"/>
      <c r="HM35" s="867"/>
      <c r="HN35" s="867"/>
      <c r="HO35" s="867"/>
      <c r="HP35" s="867"/>
    </row>
    <row r="36" spans="1:224" s="488" customFormat="1" ht="26.25" customHeight="1" x14ac:dyDescent="0.2">
      <c r="A36" s="98">
        <v>299</v>
      </c>
      <c r="B36" s="864">
        <v>20</v>
      </c>
      <c r="C36" s="98"/>
      <c r="D36" s="98" t="str">
        <f t="shared" si="0"/>
        <v>Ông</v>
      </c>
      <c r="E36" s="162" t="s">
        <v>274</v>
      </c>
      <c r="F36" s="98" t="s">
        <v>63</v>
      </c>
      <c r="G36" s="437" t="s">
        <v>163</v>
      </c>
      <c r="H36" s="438" t="s">
        <v>53</v>
      </c>
      <c r="I36" s="439">
        <v>7</v>
      </c>
      <c r="J36" s="438" t="s">
        <v>53</v>
      </c>
      <c r="K36" s="440">
        <v>1970</v>
      </c>
      <c r="L36" s="441" t="s">
        <v>83</v>
      </c>
      <c r="M36" s="442" t="str">
        <f t="shared" si="1"/>
        <v>VC</v>
      </c>
      <c r="N36" s="443"/>
      <c r="O36" s="444" t="str">
        <f t="shared" si="2"/>
        <v>CVụ</v>
      </c>
      <c r="P36" s="445" t="s">
        <v>30</v>
      </c>
      <c r="Q36" s="446">
        <f>VLOOKUP(P36,'[2]- DLiêu Gốc -'!$C$2:$H$114,2,0)</f>
        <v>0.4</v>
      </c>
      <c r="R36" s="584" t="s">
        <v>275</v>
      </c>
      <c r="S36" s="448" t="s">
        <v>143</v>
      </c>
      <c r="T36" s="449" t="str">
        <f>VLOOKUP(Y36,'[2]- DLiêu Gốc -'!$C$2:$H$60,5,0)</f>
        <v>A2</v>
      </c>
      <c r="U36" s="450" t="str">
        <f>VLOOKUP(Y36,'[2]- DLiêu Gốc -'!$C$2:$H$60,6,0)</f>
        <v>A2.1</v>
      </c>
      <c r="V36" s="727" t="s">
        <v>73</v>
      </c>
      <c r="W36" s="728" t="str">
        <f t="shared" si="3"/>
        <v>Giảng viên chính (hạng II)</v>
      </c>
      <c r="X36" s="729" t="str">
        <f t="shared" si="4"/>
        <v>V.07.01.02</v>
      </c>
      <c r="Y36" s="451" t="s">
        <v>78</v>
      </c>
      <c r="Z36" s="451" t="str">
        <f>VLOOKUP(Y36,'[2]- DLiêu Gốc -'!$C$1:$H$132,2,0)</f>
        <v>V.07.01.02</v>
      </c>
      <c r="AA36" s="268" t="str">
        <f t="shared" si="5"/>
        <v>Lương</v>
      </c>
      <c r="AB36" s="452">
        <v>2</v>
      </c>
      <c r="AC36" s="453" t="str">
        <f t="shared" si="6"/>
        <v>/</v>
      </c>
      <c r="AD36" s="454">
        <f t="shared" si="7"/>
        <v>8</v>
      </c>
      <c r="AE36" s="455">
        <f t="shared" si="8"/>
        <v>4.74</v>
      </c>
      <c r="AF36" s="456"/>
      <c r="AG36" s="456"/>
      <c r="AH36" s="457"/>
      <c r="AI36" s="458"/>
      <c r="AJ36" s="459"/>
      <c r="AK36" s="458"/>
      <c r="AL36" s="460"/>
      <c r="AM36" s="461"/>
      <c r="AN36" s="462"/>
      <c r="AO36" s="463">
        <f t="shared" si="9"/>
        <v>3</v>
      </c>
      <c r="AP36" s="464" t="str">
        <f t="shared" si="10"/>
        <v>/</v>
      </c>
      <c r="AQ36" s="465">
        <f t="shared" si="11"/>
        <v>8</v>
      </c>
      <c r="AR36" s="265">
        <f t="shared" si="12"/>
        <v>5.08</v>
      </c>
      <c r="AS36" s="466"/>
      <c r="AT36" s="467" t="s">
        <v>43</v>
      </c>
      <c r="AU36" s="468" t="s">
        <v>53</v>
      </c>
      <c r="AV36" s="469" t="s">
        <v>43</v>
      </c>
      <c r="AW36" s="468" t="s">
        <v>53</v>
      </c>
      <c r="AX36" s="470">
        <v>2017</v>
      </c>
      <c r="AY36" s="471"/>
      <c r="AZ36" s="472"/>
      <c r="BA36" s="266">
        <f t="shared" si="13"/>
        <v>3</v>
      </c>
      <c r="BB36" s="473">
        <f t="shared" si="14"/>
        <v>-24205</v>
      </c>
      <c r="BC36" s="267">
        <f>VLOOKUP(Y36,'[2]- DLiêu Gốc -'!$C$1:$F$60,3,0)</f>
        <v>4.4000000000000004</v>
      </c>
      <c r="BD36" s="267">
        <f>VLOOKUP(Y36,'[2]- DLiêu Gốc -'!$C$1:$F$60,4,0)</f>
        <v>0.34</v>
      </c>
      <c r="BE36" s="474" t="str">
        <f t="shared" si="15"/>
        <v>PCTN</v>
      </c>
      <c r="BF36" s="475">
        <v>14</v>
      </c>
      <c r="BG36" s="476" t="s">
        <v>41</v>
      </c>
      <c r="BH36" s="477" t="s">
        <v>43</v>
      </c>
      <c r="BI36" s="478" t="s">
        <v>53</v>
      </c>
      <c r="BJ36" s="730">
        <v>5</v>
      </c>
      <c r="BK36" s="479" t="s">
        <v>53</v>
      </c>
      <c r="BL36" s="480">
        <v>2017</v>
      </c>
      <c r="BM36" s="481"/>
      <c r="BN36" s="482"/>
      <c r="BO36" s="483">
        <f t="shared" si="16"/>
        <v>15</v>
      </c>
      <c r="BP36" s="484" t="s">
        <v>41</v>
      </c>
      <c r="BQ36" s="485" t="s">
        <v>43</v>
      </c>
      <c r="BR36" s="468" t="s">
        <v>53</v>
      </c>
      <c r="BS36" s="486">
        <v>5</v>
      </c>
      <c r="BT36" s="487" t="s">
        <v>53</v>
      </c>
      <c r="BU36" s="51">
        <v>2018</v>
      </c>
      <c r="BV36" s="731"/>
      <c r="BW36" s="865">
        <v>5</v>
      </c>
      <c r="BX36" s="840">
        <f t="shared" si="17"/>
        <v>-24221</v>
      </c>
      <c r="BY36" s="474" t="str">
        <f t="shared" si="18"/>
        <v>- - -</v>
      </c>
      <c r="BZ36" s="732" t="str">
        <f t="shared" si="19"/>
        <v>Chánh Văn phòng Học viện, Trưởng Ban Tổ chức - Cán bộ, Trưởng Khoa Quản lý nhà nước về Xã hội</v>
      </c>
      <c r="CA36" s="3" t="str">
        <f t="shared" si="20"/>
        <v>A</v>
      </c>
      <c r="CB36" s="733" t="str">
        <f t="shared" si="21"/>
        <v>=&gt; s</v>
      </c>
      <c r="CC36" s="268">
        <f t="shared" si="22"/>
        <v>24229</v>
      </c>
      <c r="CD36" s="98" t="str">
        <f t="shared" si="23"/>
        <v>S</v>
      </c>
      <c r="CE36" s="98">
        <v>2009</v>
      </c>
      <c r="CF36" s="866" t="s">
        <v>75</v>
      </c>
      <c r="CG36" s="98"/>
      <c r="CH36" s="734"/>
      <c r="CI36" s="98" t="str">
        <f t="shared" si="24"/>
        <v>- - -</v>
      </c>
      <c r="CJ36" s="269" t="str">
        <f t="shared" si="25"/>
        <v>NN</v>
      </c>
      <c r="CK36" s="735">
        <v>1</v>
      </c>
      <c r="CL36" s="736" t="s">
        <v>55</v>
      </c>
      <c r="CM36" s="735"/>
      <c r="CN36" s="737"/>
      <c r="CO36" s="269" t="str">
        <f t="shared" si="26"/>
        <v>- - -</v>
      </c>
      <c r="CP36" s="735"/>
      <c r="CQ36" s="736"/>
      <c r="CR36" s="735"/>
      <c r="CS36" s="737"/>
      <c r="CT36" s="738" t="str">
        <f t="shared" si="27"/>
        <v>---</v>
      </c>
      <c r="CU36" s="739" t="str">
        <f t="shared" si="28"/>
        <v>/-/ /-/</v>
      </c>
      <c r="CV36" s="740">
        <f t="shared" si="29"/>
        <v>8</v>
      </c>
      <c r="CW36" s="741">
        <f t="shared" si="30"/>
        <v>2030</v>
      </c>
      <c r="CX36" s="740">
        <f t="shared" si="31"/>
        <v>5</v>
      </c>
      <c r="CY36" s="741">
        <f t="shared" si="32"/>
        <v>2030</v>
      </c>
      <c r="CZ36" s="740">
        <f t="shared" si="33"/>
        <v>2</v>
      </c>
      <c r="DA36" s="741">
        <f t="shared" si="34"/>
        <v>2030</v>
      </c>
      <c r="DB36" s="742" t="str">
        <f t="shared" si="35"/>
        <v>- - -</v>
      </c>
      <c r="DC36" s="743" t="str">
        <f t="shared" si="36"/>
        <v>. .</v>
      </c>
      <c r="DD36" s="743"/>
      <c r="DE36" s="268">
        <f t="shared" si="37"/>
        <v>720</v>
      </c>
      <c r="DF36" s="268">
        <f t="shared" si="38"/>
        <v>-23635</v>
      </c>
      <c r="DG36" s="268">
        <f t="shared" si="39"/>
        <v>-1970</v>
      </c>
      <c r="DH36" s="268" t="str">
        <f t="shared" si="40"/>
        <v>Nam dưới 35</v>
      </c>
      <c r="DI36" s="268"/>
      <c r="DJ36" s="268"/>
      <c r="DK36" s="474" t="str">
        <f t="shared" si="41"/>
        <v>Đến 30</v>
      </c>
      <c r="DL36" s="735" t="str">
        <f t="shared" si="42"/>
        <v>TD</v>
      </c>
      <c r="DM36" s="744">
        <v>2008</v>
      </c>
      <c r="DN36" s="98"/>
      <c r="DO36" s="745"/>
      <c r="DP36" s="744"/>
      <c r="DQ36" s="737"/>
      <c r="DR36" s="746"/>
      <c r="DS36" s="279"/>
      <c r="DT36" s="270"/>
      <c r="DU36" s="51"/>
      <c r="DV36" s="447" t="s">
        <v>275</v>
      </c>
      <c r="DW36" s="467" t="s">
        <v>143</v>
      </c>
      <c r="DX36" s="469" t="s">
        <v>275</v>
      </c>
      <c r="DY36" s="469" t="s">
        <v>43</v>
      </c>
      <c r="DZ36" s="469" t="s">
        <v>53</v>
      </c>
      <c r="EA36" s="747" t="s">
        <v>43</v>
      </c>
      <c r="EB36" s="469" t="s">
        <v>53</v>
      </c>
      <c r="EC36" s="748">
        <v>2014</v>
      </c>
      <c r="ED36" s="467">
        <f t="shared" si="43"/>
        <v>0</v>
      </c>
      <c r="EE36" s="469" t="str">
        <f t="shared" si="44"/>
        <v>- - -</v>
      </c>
      <c r="EF36" s="469" t="s">
        <v>43</v>
      </c>
      <c r="EG36" s="469" t="s">
        <v>53</v>
      </c>
      <c r="EH36" s="747" t="s">
        <v>43</v>
      </c>
      <c r="EI36" s="98" t="s">
        <v>53</v>
      </c>
      <c r="EJ36" s="269">
        <v>2014</v>
      </c>
      <c r="EK36" s="271">
        <v>3.66</v>
      </c>
      <c r="EL36" s="51" t="str">
        <f t="shared" si="45"/>
        <v>- - -</v>
      </c>
      <c r="EM36" s="749" t="str">
        <f t="shared" si="46"/>
        <v>---</v>
      </c>
      <c r="EN36" s="749"/>
      <c r="EO36" s="749"/>
      <c r="EP36" s="749"/>
      <c r="EQ36" s="749"/>
      <c r="ER36" s="749"/>
      <c r="ES36" s="749"/>
      <c r="ET36" s="749"/>
      <c r="EU36" s="749"/>
      <c r="EV36" s="749"/>
      <c r="EW36" s="749"/>
      <c r="EX36" s="749"/>
      <c r="EY36" s="749"/>
      <c r="EZ36" s="749"/>
      <c r="FA36" s="749"/>
      <c r="FB36" s="749"/>
      <c r="FC36" s="749"/>
      <c r="FD36" s="749"/>
      <c r="FE36" s="749"/>
      <c r="FF36" s="749"/>
      <c r="FG36" s="749"/>
      <c r="FH36" s="749"/>
      <c r="FI36" s="749"/>
      <c r="FJ36" s="749"/>
      <c r="FK36" s="750"/>
      <c r="FL36" s="750"/>
      <c r="FM36" s="750"/>
      <c r="FN36" s="750"/>
      <c r="FO36" s="750"/>
      <c r="FP36" s="867"/>
      <c r="FQ36" s="867"/>
      <c r="FR36" s="867"/>
      <c r="FS36" s="867"/>
      <c r="FT36" s="867"/>
      <c r="FU36" s="867"/>
      <c r="FV36" s="867"/>
      <c r="FW36" s="867"/>
      <c r="FX36" s="867"/>
      <c r="FY36" s="867"/>
      <c r="FZ36" s="867"/>
      <c r="GA36" s="867"/>
      <c r="GB36" s="867"/>
      <c r="GC36" s="867"/>
      <c r="GD36" s="867"/>
      <c r="GE36" s="867"/>
      <c r="GF36" s="867"/>
      <c r="GG36" s="867"/>
      <c r="GH36" s="867"/>
      <c r="GI36" s="867"/>
      <c r="GJ36" s="867"/>
      <c r="GK36" s="867"/>
      <c r="GL36" s="867"/>
      <c r="GM36" s="867"/>
      <c r="GN36" s="867"/>
      <c r="GO36" s="867"/>
      <c r="GP36" s="867"/>
      <c r="GQ36" s="867"/>
      <c r="GR36" s="867"/>
      <c r="GS36" s="867"/>
      <c r="GT36" s="867"/>
      <c r="GU36" s="867"/>
      <c r="GV36" s="867"/>
      <c r="GW36" s="867"/>
      <c r="GX36" s="867"/>
      <c r="GY36" s="867"/>
      <c r="GZ36" s="867"/>
      <c r="HA36" s="867"/>
      <c r="HB36" s="867"/>
      <c r="HC36" s="867"/>
      <c r="HD36" s="867"/>
      <c r="HE36" s="867"/>
      <c r="HF36" s="867"/>
      <c r="HG36" s="867"/>
      <c r="HH36" s="867"/>
      <c r="HI36" s="867"/>
      <c r="HJ36" s="867"/>
      <c r="HK36" s="867"/>
      <c r="HL36" s="867"/>
      <c r="HM36" s="867"/>
      <c r="HN36" s="867"/>
      <c r="HO36" s="867"/>
      <c r="HP36" s="867"/>
    </row>
    <row r="37" spans="1:224" s="488" customFormat="1" ht="26.25" customHeight="1" x14ac:dyDescent="0.2">
      <c r="A37" s="98">
        <v>332</v>
      </c>
      <c r="B37" s="864">
        <v>21</v>
      </c>
      <c r="C37" s="98"/>
      <c r="D37" s="98" t="str">
        <f t="shared" si="0"/>
        <v>Ông</v>
      </c>
      <c r="E37" s="162" t="s">
        <v>276</v>
      </c>
      <c r="F37" s="98" t="s">
        <v>63</v>
      </c>
      <c r="G37" s="437" t="s">
        <v>277</v>
      </c>
      <c r="H37" s="438" t="s">
        <v>53</v>
      </c>
      <c r="I37" s="439" t="s">
        <v>49</v>
      </c>
      <c r="J37" s="438" t="s">
        <v>53</v>
      </c>
      <c r="K37" s="440" t="s">
        <v>278</v>
      </c>
      <c r="L37" s="441" t="s">
        <v>83</v>
      </c>
      <c r="M37" s="442" t="str">
        <f t="shared" si="1"/>
        <v>VC</v>
      </c>
      <c r="N37" s="443"/>
      <c r="O37" s="444" t="e">
        <f t="shared" si="2"/>
        <v>#N/A</v>
      </c>
      <c r="P37" s="445"/>
      <c r="Q37" s="446" t="e">
        <f>VLOOKUP(P37,'[2]- DLiêu Gốc -'!$C$2:$H$114,2,0)</f>
        <v>#N/A</v>
      </c>
      <c r="R37" s="584" t="s">
        <v>279</v>
      </c>
      <c r="S37" s="448" t="s">
        <v>7</v>
      </c>
      <c r="T37" s="449" t="str">
        <f>VLOOKUP(Y37,'[2]- DLiêu Gốc -'!$C$2:$H$60,5,0)</f>
        <v>A2</v>
      </c>
      <c r="U37" s="450" t="str">
        <f>VLOOKUP(Y37,'[2]- DLiêu Gốc -'!$C$2:$H$60,6,0)</f>
        <v>A2.1</v>
      </c>
      <c r="V37" s="727" t="s">
        <v>73</v>
      </c>
      <c r="W37" s="728" t="str">
        <f t="shared" si="3"/>
        <v>Giảng viên chính (hạng II)</v>
      </c>
      <c r="X37" s="729" t="str">
        <f t="shared" si="4"/>
        <v>V.07.01.02</v>
      </c>
      <c r="Y37" s="451" t="s">
        <v>78</v>
      </c>
      <c r="Z37" s="451" t="str">
        <f>VLOOKUP(Y37,'[2]- DLiêu Gốc -'!$C$1:$H$132,2,0)</f>
        <v>V.07.01.02</v>
      </c>
      <c r="AA37" s="268" t="str">
        <f t="shared" si="5"/>
        <v>Lương</v>
      </c>
      <c r="AB37" s="452">
        <v>2</v>
      </c>
      <c r="AC37" s="453" t="str">
        <f t="shared" si="6"/>
        <v>/</v>
      </c>
      <c r="AD37" s="454">
        <f t="shared" si="7"/>
        <v>8</v>
      </c>
      <c r="AE37" s="455">
        <f t="shared" si="8"/>
        <v>4.74</v>
      </c>
      <c r="AF37" s="456"/>
      <c r="AG37" s="456"/>
      <c r="AH37" s="457"/>
      <c r="AI37" s="458"/>
      <c r="AJ37" s="459"/>
      <c r="AK37" s="458"/>
      <c r="AL37" s="460"/>
      <c r="AM37" s="461"/>
      <c r="AN37" s="462"/>
      <c r="AO37" s="463">
        <f t="shared" si="9"/>
        <v>3</v>
      </c>
      <c r="AP37" s="464" t="str">
        <f t="shared" si="10"/>
        <v>/</v>
      </c>
      <c r="AQ37" s="465">
        <f t="shared" si="11"/>
        <v>8</v>
      </c>
      <c r="AR37" s="265">
        <f t="shared" si="12"/>
        <v>5.08</v>
      </c>
      <c r="AS37" s="466"/>
      <c r="AT37" s="467" t="s">
        <v>43</v>
      </c>
      <c r="AU37" s="468" t="s">
        <v>53</v>
      </c>
      <c r="AV37" s="469" t="s">
        <v>43</v>
      </c>
      <c r="AW37" s="468" t="s">
        <v>53</v>
      </c>
      <c r="AX37" s="470">
        <v>2017</v>
      </c>
      <c r="AY37" s="471"/>
      <c r="AZ37" s="472"/>
      <c r="BA37" s="266">
        <f t="shared" si="13"/>
        <v>3</v>
      </c>
      <c r="BB37" s="473">
        <f t="shared" si="14"/>
        <v>-24205</v>
      </c>
      <c r="BC37" s="267">
        <f>VLOOKUP(Y37,'[2]- DLiêu Gốc -'!$C$1:$F$60,3,0)</f>
        <v>4.4000000000000004</v>
      </c>
      <c r="BD37" s="267">
        <f>VLOOKUP(Y37,'[2]- DLiêu Gốc -'!$C$1:$F$60,4,0)</f>
        <v>0.34</v>
      </c>
      <c r="BE37" s="474" t="str">
        <f t="shared" si="15"/>
        <v>PCTN</v>
      </c>
      <c r="BF37" s="475">
        <v>20</v>
      </c>
      <c r="BG37" s="476" t="s">
        <v>41</v>
      </c>
      <c r="BH37" s="477" t="s">
        <v>43</v>
      </c>
      <c r="BI37" s="478" t="s">
        <v>53</v>
      </c>
      <c r="BJ37" s="730">
        <v>5</v>
      </c>
      <c r="BK37" s="479" t="s">
        <v>53</v>
      </c>
      <c r="BL37" s="480">
        <v>2017</v>
      </c>
      <c r="BM37" s="481"/>
      <c r="BN37" s="482"/>
      <c r="BO37" s="483">
        <f t="shared" si="16"/>
        <v>21</v>
      </c>
      <c r="BP37" s="484" t="s">
        <v>41</v>
      </c>
      <c r="BQ37" s="485" t="s">
        <v>43</v>
      </c>
      <c r="BR37" s="468" t="s">
        <v>53</v>
      </c>
      <c r="BS37" s="486">
        <v>5</v>
      </c>
      <c r="BT37" s="487" t="s">
        <v>53</v>
      </c>
      <c r="BU37" s="51">
        <v>2018</v>
      </c>
      <c r="BV37" s="731"/>
      <c r="BW37" s="865">
        <v>5</v>
      </c>
      <c r="BX37" s="840">
        <f t="shared" si="17"/>
        <v>-24221</v>
      </c>
      <c r="BY37" s="474" t="str">
        <f t="shared" si="18"/>
        <v>- - -</v>
      </c>
      <c r="BZ37" s="732" t="str">
        <f t="shared" si="19"/>
        <v>Chánh Văn phòng Học viện, Trưởng Ban Tổ chức - Cán bộ, Trưởng Khoa Văn bản và Công nghệ hành chính</v>
      </c>
      <c r="CA37" s="3" t="str">
        <f t="shared" si="20"/>
        <v>A</v>
      </c>
      <c r="CB37" s="733" t="str">
        <f t="shared" si="21"/>
        <v>=&gt; s</v>
      </c>
      <c r="CC37" s="268">
        <f t="shared" si="22"/>
        <v>24229</v>
      </c>
      <c r="CD37" s="98" t="str">
        <f t="shared" si="23"/>
        <v>---</v>
      </c>
      <c r="CE37" s="98"/>
      <c r="CF37" s="866"/>
      <c r="CG37" s="98"/>
      <c r="CH37" s="734"/>
      <c r="CI37" s="98" t="str">
        <f t="shared" si="24"/>
        <v>- - -</v>
      </c>
      <c r="CJ37" s="269" t="str">
        <f t="shared" si="25"/>
        <v>NN</v>
      </c>
      <c r="CK37" s="735">
        <v>1</v>
      </c>
      <c r="CL37" s="736" t="s">
        <v>55</v>
      </c>
      <c r="CM37" s="735"/>
      <c r="CN37" s="737"/>
      <c r="CO37" s="269" t="str">
        <f t="shared" si="26"/>
        <v>- - -</v>
      </c>
      <c r="CP37" s="735"/>
      <c r="CQ37" s="736"/>
      <c r="CR37" s="735"/>
      <c r="CS37" s="737"/>
      <c r="CT37" s="738" t="str">
        <f t="shared" si="27"/>
        <v>---</v>
      </c>
      <c r="CU37" s="739" t="str">
        <f t="shared" si="28"/>
        <v>/-/ /-/</v>
      </c>
      <c r="CV37" s="740">
        <f t="shared" si="29"/>
        <v>8</v>
      </c>
      <c r="CW37" s="741">
        <f t="shared" si="30"/>
        <v>2026</v>
      </c>
      <c r="CX37" s="740">
        <f t="shared" si="31"/>
        <v>5</v>
      </c>
      <c r="CY37" s="741">
        <f t="shared" si="32"/>
        <v>2026</v>
      </c>
      <c r="CZ37" s="740">
        <f t="shared" si="33"/>
        <v>2</v>
      </c>
      <c r="DA37" s="741">
        <f t="shared" si="34"/>
        <v>2026</v>
      </c>
      <c r="DB37" s="742" t="str">
        <f t="shared" si="35"/>
        <v>- - -</v>
      </c>
      <c r="DC37" s="743" t="str">
        <f t="shared" si="36"/>
        <v>. .</v>
      </c>
      <c r="DD37" s="743"/>
      <c r="DE37" s="268">
        <f t="shared" si="37"/>
        <v>720</v>
      </c>
      <c r="DF37" s="268">
        <f t="shared" si="38"/>
        <v>-23587</v>
      </c>
      <c r="DG37" s="268">
        <f t="shared" si="39"/>
        <v>-1966</v>
      </c>
      <c r="DH37" s="268" t="str">
        <f t="shared" si="40"/>
        <v>Nam dưới 35</v>
      </c>
      <c r="DI37" s="268"/>
      <c r="DJ37" s="268"/>
      <c r="DK37" s="474" t="str">
        <f t="shared" si="41"/>
        <v>Đến 30</v>
      </c>
      <c r="DL37" s="735" t="str">
        <f t="shared" si="42"/>
        <v>--</v>
      </c>
      <c r="DM37" s="744"/>
      <c r="DN37" s="98"/>
      <c r="DO37" s="745"/>
      <c r="DP37" s="744"/>
      <c r="DQ37" s="737"/>
      <c r="DR37" s="746"/>
      <c r="DS37" s="279"/>
      <c r="DT37" s="270"/>
      <c r="DU37" s="51"/>
      <c r="DV37" s="447" t="s">
        <v>279</v>
      </c>
      <c r="DW37" s="467" t="s">
        <v>7</v>
      </c>
      <c r="DX37" s="469" t="s">
        <v>279</v>
      </c>
      <c r="DY37" s="469" t="s">
        <v>43</v>
      </c>
      <c r="DZ37" s="469" t="s">
        <v>53</v>
      </c>
      <c r="EA37" s="747" t="s">
        <v>43</v>
      </c>
      <c r="EB37" s="469" t="s">
        <v>53</v>
      </c>
      <c r="EC37" s="748">
        <v>2014</v>
      </c>
      <c r="ED37" s="467">
        <f t="shared" si="43"/>
        <v>0</v>
      </c>
      <c r="EE37" s="469" t="str">
        <f t="shared" si="44"/>
        <v>- - -</v>
      </c>
      <c r="EF37" s="469" t="s">
        <v>43</v>
      </c>
      <c r="EG37" s="469" t="s">
        <v>53</v>
      </c>
      <c r="EH37" s="747" t="s">
        <v>43</v>
      </c>
      <c r="EI37" s="98" t="s">
        <v>53</v>
      </c>
      <c r="EJ37" s="269">
        <v>2014</v>
      </c>
      <c r="EK37" s="271">
        <v>3.66</v>
      </c>
      <c r="EL37" s="51" t="str">
        <f t="shared" si="45"/>
        <v>- - -</v>
      </c>
      <c r="EM37" s="749" t="str">
        <f t="shared" si="46"/>
        <v>---</v>
      </c>
      <c r="EN37" s="749"/>
      <c r="EO37" s="749"/>
      <c r="EP37" s="749"/>
      <c r="EQ37" s="749"/>
      <c r="ER37" s="749"/>
      <c r="ES37" s="749"/>
      <c r="ET37" s="749"/>
      <c r="EU37" s="749"/>
      <c r="EV37" s="749"/>
      <c r="EW37" s="749"/>
      <c r="EX37" s="749"/>
      <c r="EY37" s="749"/>
      <c r="EZ37" s="749"/>
      <c r="FA37" s="749"/>
      <c r="FB37" s="749"/>
      <c r="FC37" s="749"/>
      <c r="FD37" s="749"/>
      <c r="FE37" s="749"/>
      <c r="FF37" s="749"/>
      <c r="FG37" s="749"/>
      <c r="FH37" s="749"/>
      <c r="FI37" s="749"/>
      <c r="FJ37" s="749"/>
      <c r="FK37" s="750"/>
      <c r="FL37" s="750"/>
      <c r="FM37" s="750"/>
      <c r="FN37" s="750"/>
      <c r="FO37" s="750"/>
      <c r="FP37" s="867"/>
      <c r="FQ37" s="867"/>
      <c r="FR37" s="867"/>
      <c r="FS37" s="867"/>
      <c r="FT37" s="867"/>
      <c r="FU37" s="867"/>
      <c r="FV37" s="867"/>
      <c r="FW37" s="867"/>
      <c r="FX37" s="867"/>
      <c r="FY37" s="867"/>
      <c r="FZ37" s="867"/>
      <c r="GA37" s="867"/>
      <c r="GB37" s="867"/>
      <c r="GC37" s="867"/>
      <c r="GD37" s="867"/>
      <c r="GE37" s="867"/>
      <c r="GF37" s="867"/>
      <c r="GG37" s="867"/>
      <c r="GH37" s="867"/>
      <c r="GI37" s="867"/>
      <c r="GJ37" s="867"/>
      <c r="GK37" s="867"/>
      <c r="GL37" s="867"/>
      <c r="GM37" s="867"/>
      <c r="GN37" s="867"/>
      <c r="GO37" s="867"/>
      <c r="GP37" s="867"/>
      <c r="GQ37" s="867"/>
      <c r="GR37" s="867"/>
      <c r="GS37" s="867"/>
      <c r="GT37" s="867"/>
      <c r="GU37" s="867"/>
      <c r="GV37" s="867"/>
      <c r="GW37" s="867"/>
      <c r="GX37" s="867"/>
      <c r="GY37" s="867"/>
      <c r="GZ37" s="867"/>
      <c r="HA37" s="867"/>
      <c r="HB37" s="867"/>
      <c r="HC37" s="867"/>
      <c r="HD37" s="867"/>
      <c r="HE37" s="867"/>
      <c r="HF37" s="867"/>
      <c r="HG37" s="867"/>
      <c r="HH37" s="867"/>
      <c r="HI37" s="867"/>
      <c r="HJ37" s="867"/>
      <c r="HK37" s="867"/>
      <c r="HL37" s="867"/>
      <c r="HM37" s="867"/>
      <c r="HN37" s="867"/>
      <c r="HO37" s="867"/>
      <c r="HP37" s="867"/>
    </row>
    <row r="38" spans="1:224" s="488" customFormat="1" ht="26.25" customHeight="1" x14ac:dyDescent="0.2">
      <c r="A38" s="98">
        <v>334</v>
      </c>
      <c r="B38" s="864">
        <v>22</v>
      </c>
      <c r="C38" s="98"/>
      <c r="D38" s="98" t="str">
        <f t="shared" si="0"/>
        <v>Bà</v>
      </c>
      <c r="E38" s="162" t="s">
        <v>280</v>
      </c>
      <c r="F38" s="98" t="s">
        <v>64</v>
      </c>
      <c r="G38" s="437" t="s">
        <v>148</v>
      </c>
      <c r="H38" s="438" t="s">
        <v>53</v>
      </c>
      <c r="I38" s="439" t="s">
        <v>43</v>
      </c>
      <c r="J38" s="438" t="s">
        <v>53</v>
      </c>
      <c r="K38" s="440">
        <v>1972</v>
      </c>
      <c r="L38" s="441" t="s">
        <v>83</v>
      </c>
      <c r="M38" s="442" t="str">
        <f t="shared" si="1"/>
        <v>VC</v>
      </c>
      <c r="N38" s="443"/>
      <c r="O38" s="444" t="e">
        <f t="shared" si="2"/>
        <v>#N/A</v>
      </c>
      <c r="P38" s="445"/>
      <c r="Q38" s="446" t="e">
        <f>VLOOKUP(P38,'[2]- DLiêu Gốc -'!$C$2:$H$114,2,0)</f>
        <v>#N/A</v>
      </c>
      <c r="R38" s="584" t="s">
        <v>279</v>
      </c>
      <c r="S38" s="448" t="s">
        <v>7</v>
      </c>
      <c r="T38" s="449" t="str">
        <f>VLOOKUP(Y38,'[2]- DLiêu Gốc -'!$C$2:$H$60,5,0)</f>
        <v>A1</v>
      </c>
      <c r="U38" s="450" t="str">
        <f>VLOOKUP(Y38,'[2]- DLiêu Gốc -'!$C$2:$H$60,6,0)</f>
        <v>- - -</v>
      </c>
      <c r="V38" s="727" t="s">
        <v>73</v>
      </c>
      <c r="W38" s="728" t="str">
        <f t="shared" si="3"/>
        <v>Giảng viên (hạng III)</v>
      </c>
      <c r="X38" s="729" t="str">
        <f t="shared" si="4"/>
        <v>V.07.01.03</v>
      </c>
      <c r="Y38" s="451" t="s">
        <v>77</v>
      </c>
      <c r="Z38" s="451" t="str">
        <f>VLOOKUP(Y38,'[2]- DLiêu Gốc -'!$C$1:$H$132,2,0)</f>
        <v>V.07.01.03</v>
      </c>
      <c r="AA38" s="268" t="str">
        <f t="shared" si="5"/>
        <v>Lương</v>
      </c>
      <c r="AB38" s="452">
        <v>6</v>
      </c>
      <c r="AC38" s="453" t="str">
        <f t="shared" si="6"/>
        <v>/</v>
      </c>
      <c r="AD38" s="454">
        <f t="shared" si="7"/>
        <v>9</v>
      </c>
      <c r="AE38" s="455">
        <f t="shared" si="8"/>
        <v>3.99</v>
      </c>
      <c r="AF38" s="456"/>
      <c r="AG38" s="456"/>
      <c r="AH38" s="457"/>
      <c r="AI38" s="458"/>
      <c r="AJ38" s="459"/>
      <c r="AK38" s="458"/>
      <c r="AL38" s="460"/>
      <c r="AM38" s="461"/>
      <c r="AN38" s="462"/>
      <c r="AO38" s="463">
        <f t="shared" si="9"/>
        <v>7</v>
      </c>
      <c r="AP38" s="464" t="str">
        <f t="shared" si="10"/>
        <v>/</v>
      </c>
      <c r="AQ38" s="465">
        <f t="shared" si="11"/>
        <v>9</v>
      </c>
      <c r="AR38" s="265">
        <f t="shared" si="12"/>
        <v>4.32</v>
      </c>
      <c r="AS38" s="466"/>
      <c r="AT38" s="467" t="s">
        <v>43</v>
      </c>
      <c r="AU38" s="468" t="s">
        <v>53</v>
      </c>
      <c r="AV38" s="469" t="s">
        <v>45</v>
      </c>
      <c r="AW38" s="468" t="s">
        <v>53</v>
      </c>
      <c r="AX38" s="470">
        <v>2016</v>
      </c>
      <c r="AY38" s="471"/>
      <c r="AZ38" s="472"/>
      <c r="BA38" s="266">
        <f t="shared" si="13"/>
        <v>3</v>
      </c>
      <c r="BB38" s="473">
        <f t="shared" si="14"/>
        <v>-24197</v>
      </c>
      <c r="BC38" s="267">
        <f>VLOOKUP(Y38,'[2]- DLiêu Gốc -'!$C$1:$F$60,3,0)</f>
        <v>2.34</v>
      </c>
      <c r="BD38" s="267">
        <f>VLOOKUP(Y38,'[2]- DLiêu Gốc -'!$C$1:$F$60,4,0)</f>
        <v>0.33</v>
      </c>
      <c r="BE38" s="474" t="str">
        <f t="shared" si="15"/>
        <v>PCTN</v>
      </c>
      <c r="BF38" s="475">
        <v>14</v>
      </c>
      <c r="BG38" s="476" t="s">
        <v>41</v>
      </c>
      <c r="BH38" s="477" t="s">
        <v>43</v>
      </c>
      <c r="BI38" s="478" t="s">
        <v>53</v>
      </c>
      <c r="BJ38" s="730">
        <v>5</v>
      </c>
      <c r="BK38" s="479" t="s">
        <v>53</v>
      </c>
      <c r="BL38" s="480">
        <v>2017</v>
      </c>
      <c r="BM38" s="481"/>
      <c r="BN38" s="482"/>
      <c r="BO38" s="483">
        <f t="shared" si="16"/>
        <v>15</v>
      </c>
      <c r="BP38" s="484" t="s">
        <v>41</v>
      </c>
      <c r="BQ38" s="485" t="s">
        <v>43</v>
      </c>
      <c r="BR38" s="468" t="s">
        <v>53</v>
      </c>
      <c r="BS38" s="486">
        <v>5</v>
      </c>
      <c r="BT38" s="487" t="s">
        <v>53</v>
      </c>
      <c r="BU38" s="51">
        <v>2018</v>
      </c>
      <c r="BV38" s="731"/>
      <c r="BW38" s="865">
        <v>5</v>
      </c>
      <c r="BX38" s="840">
        <f t="shared" si="17"/>
        <v>-24221</v>
      </c>
      <c r="BY38" s="474" t="str">
        <f t="shared" si="18"/>
        <v>- - -</v>
      </c>
      <c r="BZ38" s="732" t="str">
        <f t="shared" si="19"/>
        <v>Chánh Văn phòng Học viện, Trưởng Ban Tổ chức - Cán bộ, Trưởng Khoa Văn bản và Công nghệ hành chính</v>
      </c>
      <c r="CA38" s="3" t="str">
        <f t="shared" si="20"/>
        <v>A</v>
      </c>
      <c r="CB38" s="733" t="str">
        <f t="shared" si="21"/>
        <v>=&gt; s</v>
      </c>
      <c r="CC38" s="268">
        <f t="shared" si="22"/>
        <v>24221</v>
      </c>
      <c r="CD38" s="98" t="str">
        <f t="shared" si="23"/>
        <v>---</v>
      </c>
      <c r="CE38" s="98"/>
      <c r="CF38" s="866"/>
      <c r="CG38" s="98"/>
      <c r="CH38" s="734"/>
      <c r="CI38" s="98" t="str">
        <f t="shared" si="24"/>
        <v>- - -</v>
      </c>
      <c r="CJ38" s="269" t="str">
        <f t="shared" si="25"/>
        <v>- - -</v>
      </c>
      <c r="CK38" s="735"/>
      <c r="CL38" s="736"/>
      <c r="CM38" s="735"/>
      <c r="CN38" s="737"/>
      <c r="CO38" s="269" t="str">
        <f t="shared" si="26"/>
        <v>- - -</v>
      </c>
      <c r="CP38" s="735"/>
      <c r="CQ38" s="736"/>
      <c r="CR38" s="735"/>
      <c r="CS38" s="737"/>
      <c r="CT38" s="738" t="str">
        <f t="shared" si="27"/>
        <v>---</v>
      </c>
      <c r="CU38" s="739" t="str">
        <f t="shared" si="28"/>
        <v>/-/ /-/</v>
      </c>
      <c r="CV38" s="740">
        <f t="shared" si="29"/>
        <v>2</v>
      </c>
      <c r="CW38" s="741">
        <f t="shared" si="30"/>
        <v>2027</v>
      </c>
      <c r="CX38" s="740">
        <f t="shared" si="31"/>
        <v>11</v>
      </c>
      <c r="CY38" s="741">
        <f t="shared" si="32"/>
        <v>2026</v>
      </c>
      <c r="CZ38" s="740">
        <f t="shared" si="33"/>
        <v>8</v>
      </c>
      <c r="DA38" s="741">
        <f t="shared" si="34"/>
        <v>2026</v>
      </c>
      <c r="DB38" s="742" t="str">
        <f t="shared" si="35"/>
        <v>- - -</v>
      </c>
      <c r="DC38" s="743" t="str">
        <f t="shared" si="36"/>
        <v>. .</v>
      </c>
      <c r="DD38" s="743"/>
      <c r="DE38" s="268">
        <f t="shared" si="37"/>
        <v>660</v>
      </c>
      <c r="DF38" s="268">
        <f t="shared" si="38"/>
        <v>-23653</v>
      </c>
      <c r="DG38" s="268">
        <f t="shared" si="39"/>
        <v>-1972</v>
      </c>
      <c r="DH38" s="268" t="str">
        <f t="shared" si="40"/>
        <v>Nữ dưới 30</v>
      </c>
      <c r="DI38" s="268"/>
      <c r="DJ38" s="268"/>
      <c r="DK38" s="474" t="str">
        <f t="shared" si="41"/>
        <v>Đến 30</v>
      </c>
      <c r="DL38" s="735" t="str">
        <f t="shared" si="42"/>
        <v>TD</v>
      </c>
      <c r="DM38" s="744">
        <v>2008</v>
      </c>
      <c r="DN38" s="98"/>
      <c r="DO38" s="745"/>
      <c r="DP38" s="744"/>
      <c r="DQ38" s="737"/>
      <c r="DR38" s="746"/>
      <c r="DS38" s="279"/>
      <c r="DT38" s="270"/>
      <c r="DU38" s="51"/>
      <c r="DV38" s="447" t="s">
        <v>279</v>
      </c>
      <c r="DW38" s="467" t="s">
        <v>7</v>
      </c>
      <c r="DX38" s="469" t="s">
        <v>279</v>
      </c>
      <c r="DY38" s="469" t="s">
        <v>43</v>
      </c>
      <c r="DZ38" s="469" t="s">
        <v>53</v>
      </c>
      <c r="EA38" s="747" t="s">
        <v>45</v>
      </c>
      <c r="EB38" s="469" t="s">
        <v>53</v>
      </c>
      <c r="EC38" s="748">
        <v>2013</v>
      </c>
      <c r="ED38" s="467">
        <f t="shared" si="43"/>
        <v>0</v>
      </c>
      <c r="EE38" s="469" t="str">
        <f t="shared" si="44"/>
        <v>- - -</v>
      </c>
      <c r="EF38" s="469" t="s">
        <v>43</v>
      </c>
      <c r="EG38" s="469" t="s">
        <v>53</v>
      </c>
      <c r="EH38" s="747" t="s">
        <v>45</v>
      </c>
      <c r="EI38" s="98" t="s">
        <v>53</v>
      </c>
      <c r="EJ38" s="269">
        <v>2013</v>
      </c>
      <c r="EK38" s="271"/>
      <c r="EL38" s="51" t="str">
        <f t="shared" si="45"/>
        <v>- - -</v>
      </c>
      <c r="EM38" s="749" t="str">
        <f t="shared" si="46"/>
        <v>---</v>
      </c>
      <c r="EN38" s="749"/>
      <c r="EO38" s="749"/>
      <c r="EP38" s="749"/>
      <c r="EQ38" s="749"/>
      <c r="ER38" s="749"/>
      <c r="ES38" s="749"/>
      <c r="ET38" s="749"/>
      <c r="EU38" s="749"/>
      <c r="EV38" s="749"/>
      <c r="EW38" s="749"/>
      <c r="EX38" s="749"/>
      <c r="EY38" s="749"/>
      <c r="EZ38" s="749"/>
      <c r="FA38" s="749"/>
      <c r="FB38" s="749"/>
      <c r="FC38" s="749"/>
      <c r="FD38" s="749"/>
      <c r="FE38" s="749"/>
      <c r="FF38" s="749"/>
      <c r="FG38" s="749"/>
      <c r="FH38" s="749"/>
      <c r="FI38" s="749"/>
      <c r="FJ38" s="749"/>
      <c r="FK38" s="750"/>
      <c r="FL38" s="750"/>
      <c r="FM38" s="750"/>
      <c r="FN38" s="750"/>
      <c r="FO38" s="750"/>
      <c r="FP38" s="867"/>
      <c r="FQ38" s="867"/>
      <c r="FR38" s="867"/>
      <c r="FS38" s="867"/>
      <c r="FT38" s="867"/>
      <c r="FU38" s="867"/>
      <c r="FV38" s="867"/>
      <c r="FW38" s="867"/>
      <c r="FX38" s="867"/>
      <c r="FY38" s="867"/>
      <c r="FZ38" s="867"/>
      <c r="GA38" s="867"/>
      <c r="GB38" s="867"/>
      <c r="GC38" s="867"/>
      <c r="GD38" s="867"/>
      <c r="GE38" s="867"/>
      <c r="GF38" s="867"/>
      <c r="GG38" s="867"/>
      <c r="GH38" s="867"/>
      <c r="GI38" s="867"/>
      <c r="GJ38" s="867"/>
      <c r="GK38" s="867"/>
      <c r="GL38" s="867"/>
      <c r="GM38" s="867"/>
      <c r="GN38" s="867"/>
      <c r="GO38" s="867"/>
      <c r="GP38" s="867"/>
      <c r="GQ38" s="867"/>
      <c r="GR38" s="867"/>
      <c r="GS38" s="867"/>
      <c r="GT38" s="867"/>
      <c r="GU38" s="867"/>
      <c r="GV38" s="867"/>
      <c r="GW38" s="867"/>
      <c r="GX38" s="867"/>
      <c r="GY38" s="867"/>
      <c r="GZ38" s="867"/>
      <c r="HA38" s="867"/>
      <c r="HB38" s="867"/>
      <c r="HC38" s="867"/>
      <c r="HD38" s="867"/>
      <c r="HE38" s="867"/>
      <c r="HF38" s="867"/>
      <c r="HG38" s="867"/>
      <c r="HH38" s="867"/>
      <c r="HI38" s="867"/>
      <c r="HJ38" s="867"/>
      <c r="HK38" s="867"/>
      <c r="HL38" s="867"/>
      <c r="HM38" s="867"/>
      <c r="HN38" s="867"/>
      <c r="HO38" s="867"/>
      <c r="HP38" s="867"/>
    </row>
    <row r="39" spans="1:224" s="488" customFormat="1" ht="30.75" customHeight="1" x14ac:dyDescent="0.2">
      <c r="A39" s="98">
        <v>465</v>
      </c>
      <c r="B39" s="864">
        <v>23</v>
      </c>
      <c r="C39" s="98"/>
      <c r="D39" s="98" t="str">
        <f t="shared" si="0"/>
        <v>Bà</v>
      </c>
      <c r="E39" s="162" t="s">
        <v>281</v>
      </c>
      <c r="F39" s="98" t="s">
        <v>64</v>
      </c>
      <c r="G39" s="437" t="s">
        <v>282</v>
      </c>
      <c r="H39" s="438" t="s">
        <v>53</v>
      </c>
      <c r="I39" s="439" t="s">
        <v>58</v>
      </c>
      <c r="J39" s="438" t="s">
        <v>53</v>
      </c>
      <c r="K39" s="440" t="s">
        <v>283</v>
      </c>
      <c r="L39" s="441" t="s">
        <v>83</v>
      </c>
      <c r="M39" s="442" t="str">
        <f t="shared" si="1"/>
        <v>VC</v>
      </c>
      <c r="N39" s="443"/>
      <c r="O39" s="444" t="e">
        <f t="shared" si="2"/>
        <v>#N/A</v>
      </c>
      <c r="P39" s="445"/>
      <c r="Q39" s="446" t="e">
        <f>VLOOKUP(P39,'[1]- DLiêu Gốc (Không sửa)'!$C$2:$H$116,2,0)</f>
        <v>#N/A</v>
      </c>
      <c r="R39" s="584"/>
      <c r="S39" s="448" t="s">
        <v>146</v>
      </c>
      <c r="T39" s="449" t="str">
        <f>VLOOKUP(Y39,'[2]- DLiêu Gốc -'!$C$2:$H$60,5,0)</f>
        <v>A1</v>
      </c>
      <c r="U39" s="450" t="str">
        <f>VLOOKUP(Y39,'[2]- DLiêu Gốc -'!$C$2:$H$60,6,0)</f>
        <v>- - -</v>
      </c>
      <c r="V39" s="727" t="s">
        <v>73</v>
      </c>
      <c r="W39" s="728" t="str">
        <f t="shared" si="3"/>
        <v>Giảng viên (hạng III)</v>
      </c>
      <c r="X39" s="729" t="str">
        <f t="shared" si="4"/>
        <v>V.07.01.03</v>
      </c>
      <c r="Y39" s="451" t="s">
        <v>77</v>
      </c>
      <c r="Z39" s="451" t="str">
        <f>VLOOKUP(Y39,'[2]- DLiêu Gốc -'!$C$1:$H$132,2,0)</f>
        <v>V.07.01.03</v>
      </c>
      <c r="AA39" s="268" t="str">
        <f t="shared" si="5"/>
        <v>Lương</v>
      </c>
      <c r="AB39" s="452">
        <v>5</v>
      </c>
      <c r="AC39" s="453" t="str">
        <f t="shared" si="6"/>
        <v>/</v>
      </c>
      <c r="AD39" s="454">
        <f t="shared" si="7"/>
        <v>9</v>
      </c>
      <c r="AE39" s="455">
        <f t="shared" si="8"/>
        <v>3.66</v>
      </c>
      <c r="AF39" s="456"/>
      <c r="AG39" s="456"/>
      <c r="AH39" s="457"/>
      <c r="AI39" s="458"/>
      <c r="AJ39" s="459"/>
      <c r="AK39" s="458"/>
      <c r="AL39" s="460"/>
      <c r="AM39" s="461"/>
      <c r="AN39" s="462"/>
      <c r="AO39" s="463">
        <f t="shared" si="9"/>
        <v>6</v>
      </c>
      <c r="AP39" s="464" t="str">
        <f t="shared" si="10"/>
        <v>/</v>
      </c>
      <c r="AQ39" s="465">
        <f t="shared" si="11"/>
        <v>9</v>
      </c>
      <c r="AR39" s="265">
        <f t="shared" si="12"/>
        <v>3.99</v>
      </c>
      <c r="AS39" s="466"/>
      <c r="AT39" s="467" t="s">
        <v>43</v>
      </c>
      <c r="AU39" s="468" t="s">
        <v>53</v>
      </c>
      <c r="AV39" s="469" t="s">
        <v>51</v>
      </c>
      <c r="AW39" s="468" t="s">
        <v>53</v>
      </c>
      <c r="AX39" s="470">
        <v>2017</v>
      </c>
      <c r="AY39" s="471"/>
      <c r="AZ39" s="472"/>
      <c r="BA39" s="266">
        <f t="shared" si="13"/>
        <v>3</v>
      </c>
      <c r="BB39" s="473">
        <f t="shared" si="14"/>
        <v>-24216</v>
      </c>
      <c r="BC39" s="267">
        <f>VLOOKUP(Y39,'[2]- DLiêu Gốc -'!$C$1:$F$60,3,0)</f>
        <v>2.34</v>
      </c>
      <c r="BD39" s="267">
        <f>VLOOKUP(Y39,'[2]- DLiêu Gốc -'!$C$1:$F$60,4,0)</f>
        <v>0.33</v>
      </c>
      <c r="BE39" s="474" t="str">
        <f t="shared" si="15"/>
        <v>PCTN</v>
      </c>
      <c r="BF39" s="475">
        <v>14</v>
      </c>
      <c r="BG39" s="476" t="s">
        <v>41</v>
      </c>
      <c r="BH39" s="477" t="s">
        <v>43</v>
      </c>
      <c r="BI39" s="478" t="s">
        <v>53</v>
      </c>
      <c r="BJ39" s="730">
        <v>5</v>
      </c>
      <c r="BK39" s="479" t="s">
        <v>53</v>
      </c>
      <c r="BL39" s="480">
        <v>2017</v>
      </c>
      <c r="BM39" s="481"/>
      <c r="BN39" s="482"/>
      <c r="BO39" s="483">
        <f t="shared" si="16"/>
        <v>15</v>
      </c>
      <c r="BP39" s="484" t="s">
        <v>41</v>
      </c>
      <c r="BQ39" s="485" t="s">
        <v>43</v>
      </c>
      <c r="BR39" s="468" t="s">
        <v>53</v>
      </c>
      <c r="BS39" s="486">
        <v>5</v>
      </c>
      <c r="BT39" s="487" t="s">
        <v>53</v>
      </c>
      <c r="BU39" s="51">
        <v>2018</v>
      </c>
      <c r="BV39" s="731"/>
      <c r="BW39" s="865">
        <v>5</v>
      </c>
      <c r="BX39" s="840">
        <f t="shared" si="17"/>
        <v>-24221</v>
      </c>
      <c r="BY39" s="474" t="str">
        <f t="shared" si="18"/>
        <v>- - -</v>
      </c>
      <c r="BZ39" s="732" t="str">
        <f t="shared" si="19"/>
        <v>Chánh Văn phòng Học viện, Trưởng Ban Tổ chức - Cán bộ, Trưởng Trung tâm Ngoại ngữ - Tin học và Thông tin - Thư viện</v>
      </c>
      <c r="CA39" s="3" t="str">
        <f t="shared" si="20"/>
        <v>A</v>
      </c>
      <c r="CB39" s="733" t="str">
        <f t="shared" si="21"/>
        <v>=&gt; s</v>
      </c>
      <c r="CC39" s="268">
        <f t="shared" si="22"/>
        <v>24240</v>
      </c>
      <c r="CD39" s="98" t="str">
        <f t="shared" si="23"/>
        <v>---</v>
      </c>
      <c r="CE39" s="98"/>
      <c r="CF39" s="866"/>
      <c r="CG39" s="98"/>
      <c r="CH39" s="734"/>
      <c r="CI39" s="98" t="str">
        <f t="shared" si="24"/>
        <v>- - -</v>
      </c>
      <c r="CJ39" s="269" t="str">
        <f t="shared" si="25"/>
        <v>- - -</v>
      </c>
      <c r="CK39" s="735"/>
      <c r="CL39" s="736"/>
      <c r="CM39" s="735"/>
      <c r="CN39" s="737"/>
      <c r="CO39" s="269" t="str">
        <f t="shared" si="26"/>
        <v>- - -</v>
      </c>
      <c r="CP39" s="735"/>
      <c r="CQ39" s="736"/>
      <c r="CR39" s="735"/>
      <c r="CS39" s="737"/>
      <c r="CT39" s="738" t="str">
        <f t="shared" si="27"/>
        <v>---</v>
      </c>
      <c r="CU39" s="739" t="str">
        <f t="shared" si="28"/>
        <v>/-/ /-/</v>
      </c>
      <c r="CV39" s="740">
        <f t="shared" si="29"/>
        <v>12</v>
      </c>
      <c r="CW39" s="741">
        <f t="shared" si="30"/>
        <v>2034</v>
      </c>
      <c r="CX39" s="740">
        <f t="shared" si="31"/>
        <v>9</v>
      </c>
      <c r="CY39" s="741">
        <f t="shared" si="32"/>
        <v>2034</v>
      </c>
      <c r="CZ39" s="740">
        <f t="shared" si="33"/>
        <v>6</v>
      </c>
      <c r="DA39" s="741">
        <f t="shared" si="34"/>
        <v>2034</v>
      </c>
      <c r="DB39" s="742" t="str">
        <f t="shared" si="35"/>
        <v>- - -</v>
      </c>
      <c r="DC39" s="743" t="str">
        <f t="shared" si="36"/>
        <v>. .</v>
      </c>
      <c r="DD39" s="743"/>
      <c r="DE39" s="268">
        <f t="shared" si="37"/>
        <v>660</v>
      </c>
      <c r="DF39" s="268">
        <f t="shared" si="38"/>
        <v>-23747</v>
      </c>
      <c r="DG39" s="268">
        <f t="shared" si="39"/>
        <v>-1979</v>
      </c>
      <c r="DH39" s="268" t="str">
        <f t="shared" si="40"/>
        <v>Nữ dưới 30</v>
      </c>
      <c r="DI39" s="268"/>
      <c r="DJ39" s="268"/>
      <c r="DK39" s="474" t="str">
        <f t="shared" si="41"/>
        <v>Đến 30</v>
      </c>
      <c r="DL39" s="735" t="str">
        <f t="shared" si="42"/>
        <v>--</v>
      </c>
      <c r="DM39" s="744"/>
      <c r="DN39" s="98"/>
      <c r="DO39" s="745"/>
      <c r="DP39" s="744"/>
      <c r="DQ39" s="737"/>
      <c r="DR39" s="746"/>
      <c r="DS39" s="279"/>
      <c r="DT39" s="270"/>
      <c r="DU39" s="51"/>
      <c r="DV39" s="447"/>
      <c r="DW39" s="467" t="s">
        <v>284</v>
      </c>
      <c r="DX39" s="469"/>
      <c r="DY39" s="469" t="s">
        <v>43</v>
      </c>
      <c r="DZ39" s="469" t="s">
        <v>53</v>
      </c>
      <c r="EA39" s="747" t="s">
        <v>51</v>
      </c>
      <c r="EB39" s="469" t="s">
        <v>53</v>
      </c>
      <c r="EC39" s="748" t="s">
        <v>55</v>
      </c>
      <c r="ED39" s="467">
        <f t="shared" si="43"/>
        <v>0</v>
      </c>
      <c r="EE39" s="469" t="str">
        <f t="shared" si="44"/>
        <v>- - -</v>
      </c>
      <c r="EF39" s="469" t="s">
        <v>43</v>
      </c>
      <c r="EG39" s="469" t="s">
        <v>53</v>
      </c>
      <c r="EH39" s="747" t="s">
        <v>51</v>
      </c>
      <c r="EI39" s="98" t="s">
        <v>53</v>
      </c>
      <c r="EJ39" s="269" t="s">
        <v>55</v>
      </c>
      <c r="EK39" s="271"/>
      <c r="EL39" s="51" t="str">
        <f t="shared" si="45"/>
        <v>- - -</v>
      </c>
      <c r="EM39" s="749" t="str">
        <f t="shared" si="46"/>
        <v>---</v>
      </c>
      <c r="EN39" s="749"/>
      <c r="EO39" s="749"/>
      <c r="EP39" s="749"/>
      <c r="EQ39" s="749"/>
      <c r="ER39" s="749"/>
      <c r="ES39" s="749"/>
      <c r="ET39" s="749"/>
      <c r="EU39" s="749"/>
      <c r="EV39" s="749"/>
      <c r="EW39" s="749"/>
      <c r="EX39" s="749"/>
      <c r="EY39" s="749"/>
      <c r="EZ39" s="749"/>
      <c r="FA39" s="749"/>
      <c r="FB39" s="749"/>
      <c r="FC39" s="749"/>
      <c r="FD39" s="749"/>
      <c r="FE39" s="749"/>
      <c r="FF39" s="749"/>
      <c r="FG39" s="749"/>
      <c r="FH39" s="749"/>
      <c r="FI39" s="749"/>
      <c r="FJ39" s="749"/>
      <c r="FK39" s="750"/>
      <c r="FL39" s="750"/>
      <c r="FM39" s="750"/>
      <c r="FN39" s="750"/>
      <c r="FO39" s="750"/>
      <c r="FP39" s="867"/>
      <c r="FQ39" s="867"/>
      <c r="FR39" s="867"/>
      <c r="FS39" s="867"/>
      <c r="FT39" s="867"/>
      <c r="FU39" s="867"/>
      <c r="FV39" s="867"/>
      <c r="FW39" s="867"/>
      <c r="FX39" s="867"/>
      <c r="FY39" s="867"/>
      <c r="FZ39" s="867"/>
      <c r="GA39" s="867"/>
      <c r="GB39" s="867"/>
      <c r="GC39" s="867"/>
      <c r="GD39" s="867"/>
      <c r="GE39" s="867"/>
      <c r="GF39" s="867"/>
      <c r="GG39" s="867"/>
      <c r="GH39" s="867"/>
      <c r="GI39" s="867"/>
      <c r="GJ39" s="867"/>
      <c r="GK39" s="867"/>
      <c r="GL39" s="867"/>
      <c r="GM39" s="867"/>
      <c r="GN39" s="867"/>
      <c r="GO39" s="867"/>
      <c r="GP39" s="867"/>
      <c r="GQ39" s="867"/>
      <c r="GR39" s="867"/>
      <c r="GS39" s="867"/>
      <c r="GT39" s="867"/>
      <c r="GU39" s="867"/>
      <c r="GV39" s="867"/>
      <c r="GW39" s="867"/>
      <c r="GX39" s="867"/>
      <c r="GY39" s="867"/>
      <c r="GZ39" s="867"/>
      <c r="HA39" s="867"/>
      <c r="HB39" s="867"/>
      <c r="HC39" s="867"/>
      <c r="HD39" s="867"/>
      <c r="HE39" s="867"/>
      <c r="HF39" s="867"/>
      <c r="HG39" s="867"/>
      <c r="HH39" s="867"/>
      <c r="HI39" s="867"/>
      <c r="HJ39" s="867"/>
      <c r="HK39" s="867"/>
      <c r="HL39" s="867"/>
      <c r="HM39" s="867"/>
      <c r="HN39" s="867"/>
      <c r="HO39" s="867"/>
      <c r="HP39" s="867"/>
    </row>
    <row r="40" spans="1:224" s="488" customFormat="1" ht="38.25" customHeight="1" x14ac:dyDescent="0.2">
      <c r="A40" s="98">
        <v>658</v>
      </c>
      <c r="B40" s="864">
        <v>24</v>
      </c>
      <c r="C40" s="98"/>
      <c r="D40" s="98" t="str">
        <f t="shared" si="0"/>
        <v>Ông</v>
      </c>
      <c r="E40" s="162" t="s">
        <v>285</v>
      </c>
      <c r="F40" s="98" t="s">
        <v>63</v>
      </c>
      <c r="G40" s="437" t="s">
        <v>51</v>
      </c>
      <c r="H40" s="438" t="s">
        <v>53</v>
      </c>
      <c r="I40" s="439" t="s">
        <v>58</v>
      </c>
      <c r="J40" s="438" t="s">
        <v>53</v>
      </c>
      <c r="K40" s="440" t="s">
        <v>174</v>
      </c>
      <c r="L40" s="441" t="s">
        <v>83</v>
      </c>
      <c r="M40" s="442" t="str">
        <f t="shared" si="1"/>
        <v>VC</v>
      </c>
      <c r="N40" s="443"/>
      <c r="O40" s="444" t="str">
        <f t="shared" si="2"/>
        <v>CVụ</v>
      </c>
      <c r="P40" s="445" t="s">
        <v>160</v>
      </c>
      <c r="Q40" s="446" t="str">
        <f>VLOOKUP(P40,'[1]- DLiêu Gốc (Không sửa)'!$C$2:$H$116,2,0)</f>
        <v>0,6</v>
      </c>
      <c r="R40" s="584" t="s">
        <v>286</v>
      </c>
      <c r="S40" s="448" t="s">
        <v>154</v>
      </c>
      <c r="T40" s="449" t="str">
        <f>VLOOKUP(Y40,'[2]- DLiêu Gốc -'!$C$2:$H$60,5,0)</f>
        <v>A1</v>
      </c>
      <c r="U40" s="450" t="str">
        <f>VLOOKUP(Y40,'[2]- DLiêu Gốc -'!$C$2:$H$60,6,0)</f>
        <v>- - -</v>
      </c>
      <c r="V40" s="727" t="s">
        <v>73</v>
      </c>
      <c r="W40" s="728" t="str">
        <f t="shared" si="3"/>
        <v>Giảng viên (hạng III)</v>
      </c>
      <c r="X40" s="729" t="str">
        <f t="shared" si="4"/>
        <v>V.07.01.03</v>
      </c>
      <c r="Y40" s="451" t="s">
        <v>77</v>
      </c>
      <c r="Z40" s="451" t="str">
        <f>VLOOKUP(Y40,'[2]- DLiêu Gốc -'!$C$1:$H$132,2,0)</f>
        <v>V.07.01.03</v>
      </c>
      <c r="AA40" s="268" t="str">
        <f t="shared" si="5"/>
        <v>Lương</v>
      </c>
      <c r="AB40" s="452">
        <v>5</v>
      </c>
      <c r="AC40" s="453" t="str">
        <f t="shared" si="6"/>
        <v>/</v>
      </c>
      <c r="AD40" s="454">
        <f t="shared" si="7"/>
        <v>9</v>
      </c>
      <c r="AE40" s="455">
        <f t="shared" si="8"/>
        <v>3.66</v>
      </c>
      <c r="AF40" s="456"/>
      <c r="AG40" s="456"/>
      <c r="AH40" s="457"/>
      <c r="AI40" s="458"/>
      <c r="AJ40" s="459"/>
      <c r="AK40" s="458"/>
      <c r="AL40" s="460"/>
      <c r="AM40" s="461"/>
      <c r="AN40" s="462"/>
      <c r="AO40" s="463">
        <f t="shared" si="9"/>
        <v>6</v>
      </c>
      <c r="AP40" s="464" t="str">
        <f t="shared" si="10"/>
        <v>/</v>
      </c>
      <c r="AQ40" s="465">
        <f t="shared" si="11"/>
        <v>9</v>
      </c>
      <c r="AR40" s="265">
        <f t="shared" si="12"/>
        <v>3.99</v>
      </c>
      <c r="AS40" s="466"/>
      <c r="AT40" s="467" t="s">
        <v>43</v>
      </c>
      <c r="AU40" s="468" t="s">
        <v>53</v>
      </c>
      <c r="AV40" s="469" t="s">
        <v>51</v>
      </c>
      <c r="AW40" s="468" t="s">
        <v>53</v>
      </c>
      <c r="AX40" s="470">
        <v>2015</v>
      </c>
      <c r="AY40" s="471"/>
      <c r="AZ40" s="472"/>
      <c r="BA40" s="266">
        <f t="shared" si="13"/>
        <v>3</v>
      </c>
      <c r="BB40" s="473">
        <f t="shared" si="14"/>
        <v>-24192</v>
      </c>
      <c r="BC40" s="267">
        <f>VLOOKUP(Y40,'[2]- DLiêu Gốc -'!$C$1:$F$60,3,0)</f>
        <v>2.34</v>
      </c>
      <c r="BD40" s="267">
        <f>VLOOKUP(Y40,'[2]- DLiêu Gốc -'!$C$1:$F$60,4,0)</f>
        <v>0.33</v>
      </c>
      <c r="BE40" s="474" t="str">
        <f t="shared" si="15"/>
        <v>PCTN</v>
      </c>
      <c r="BF40" s="475">
        <v>14</v>
      </c>
      <c r="BG40" s="476" t="s">
        <v>41</v>
      </c>
      <c r="BH40" s="477" t="s">
        <v>43</v>
      </c>
      <c r="BI40" s="478" t="s">
        <v>53</v>
      </c>
      <c r="BJ40" s="730">
        <v>5</v>
      </c>
      <c r="BK40" s="479" t="s">
        <v>53</v>
      </c>
      <c r="BL40" s="480">
        <v>2017</v>
      </c>
      <c r="BM40" s="481"/>
      <c r="BN40" s="482"/>
      <c r="BO40" s="483">
        <f t="shared" si="16"/>
        <v>15</v>
      </c>
      <c r="BP40" s="484" t="s">
        <v>41</v>
      </c>
      <c r="BQ40" s="485" t="s">
        <v>43</v>
      </c>
      <c r="BR40" s="468" t="s">
        <v>53</v>
      </c>
      <c r="BS40" s="486">
        <v>5</v>
      </c>
      <c r="BT40" s="487" t="s">
        <v>53</v>
      </c>
      <c r="BU40" s="51">
        <v>2018</v>
      </c>
      <c r="BV40" s="731"/>
      <c r="BW40" s="865">
        <v>5</v>
      </c>
      <c r="BX40" s="840">
        <f t="shared" si="17"/>
        <v>-24221</v>
      </c>
      <c r="BY40" s="474" t="str">
        <f t="shared" si="18"/>
        <v>- - -</v>
      </c>
      <c r="BZ40" s="732" t="str">
        <f t="shared" si="19"/>
        <v>Chánh Văn phòng Học viện, Trưởng Ban Tổ chức - Cán bộ, Trưởng Phân viện Học viện Hành chính Quốc gia tại Thành phố Hồ Chí Minh</v>
      </c>
      <c r="CA40" s="3" t="str">
        <f t="shared" si="20"/>
        <v>A</v>
      </c>
      <c r="CB40" s="733" t="str">
        <f t="shared" si="21"/>
        <v>=&gt; s</v>
      </c>
      <c r="CC40" s="268">
        <f t="shared" si="22"/>
        <v>24216</v>
      </c>
      <c r="CD40" s="98" t="str">
        <f t="shared" si="23"/>
        <v>S</v>
      </c>
      <c r="CE40" s="98">
        <v>2015</v>
      </c>
      <c r="CF40" s="866" t="s">
        <v>75</v>
      </c>
      <c r="CG40" s="98"/>
      <c r="CH40" s="734"/>
      <c r="CI40" s="98" t="str">
        <f t="shared" si="24"/>
        <v>Cùg Ng</v>
      </c>
      <c r="CJ40" s="269" t="str">
        <f t="shared" si="25"/>
        <v>- - -</v>
      </c>
      <c r="CK40" s="735"/>
      <c r="CL40" s="736"/>
      <c r="CM40" s="735"/>
      <c r="CN40" s="737"/>
      <c r="CO40" s="269" t="str">
        <f t="shared" si="26"/>
        <v>- - -</v>
      </c>
      <c r="CP40" s="735"/>
      <c r="CQ40" s="736"/>
      <c r="CR40" s="735"/>
      <c r="CS40" s="737"/>
      <c r="CT40" s="738" t="str">
        <f t="shared" si="27"/>
        <v>---</v>
      </c>
      <c r="CU40" s="739" t="str">
        <f t="shared" si="28"/>
        <v>/-/ /-/</v>
      </c>
      <c r="CV40" s="740">
        <f t="shared" si="29"/>
        <v>12</v>
      </c>
      <c r="CW40" s="741">
        <f t="shared" si="30"/>
        <v>2033</v>
      </c>
      <c r="CX40" s="740">
        <f t="shared" si="31"/>
        <v>9</v>
      </c>
      <c r="CY40" s="741">
        <f t="shared" si="32"/>
        <v>2033</v>
      </c>
      <c r="CZ40" s="740">
        <f t="shared" si="33"/>
        <v>6</v>
      </c>
      <c r="DA40" s="741">
        <f t="shared" si="34"/>
        <v>2033</v>
      </c>
      <c r="DB40" s="742" t="str">
        <f t="shared" si="35"/>
        <v>- - -</v>
      </c>
      <c r="DC40" s="743" t="str">
        <f t="shared" si="36"/>
        <v>. .</v>
      </c>
      <c r="DD40" s="743"/>
      <c r="DE40" s="268">
        <f t="shared" si="37"/>
        <v>720</v>
      </c>
      <c r="DF40" s="268">
        <f t="shared" si="38"/>
        <v>-23675</v>
      </c>
      <c r="DG40" s="268">
        <f t="shared" si="39"/>
        <v>-1973</v>
      </c>
      <c r="DH40" s="268" t="str">
        <f t="shared" si="40"/>
        <v>Nam dưới 35</v>
      </c>
      <c r="DI40" s="268"/>
      <c r="DJ40" s="268"/>
      <c r="DK40" s="474" t="str">
        <f t="shared" si="41"/>
        <v>Đến 30</v>
      </c>
      <c r="DL40" s="735" t="str">
        <f t="shared" si="42"/>
        <v>TD</v>
      </c>
      <c r="DM40" s="744">
        <v>2009</v>
      </c>
      <c r="DN40" s="98"/>
      <c r="DO40" s="745"/>
      <c r="DP40" s="744"/>
      <c r="DQ40" s="737"/>
      <c r="DR40" s="746"/>
      <c r="DS40" s="279"/>
      <c r="DT40" s="270"/>
      <c r="DU40" s="51"/>
      <c r="DV40" s="447" t="s">
        <v>287</v>
      </c>
      <c r="DW40" s="467" t="s">
        <v>225</v>
      </c>
      <c r="DX40" s="469" t="s">
        <v>159</v>
      </c>
      <c r="DY40" s="469" t="s">
        <v>43</v>
      </c>
      <c r="DZ40" s="469" t="s">
        <v>53</v>
      </c>
      <c r="EA40" s="747" t="s">
        <v>50</v>
      </c>
      <c r="EB40" s="469" t="s">
        <v>53</v>
      </c>
      <c r="EC40" s="748">
        <v>2013</v>
      </c>
      <c r="ED40" s="467">
        <f t="shared" si="43"/>
        <v>0</v>
      </c>
      <c r="EE40" s="469" t="str">
        <f t="shared" si="44"/>
        <v>- - -</v>
      </c>
      <c r="EF40" s="469" t="s">
        <v>43</v>
      </c>
      <c r="EG40" s="469" t="s">
        <v>53</v>
      </c>
      <c r="EH40" s="747" t="s">
        <v>50</v>
      </c>
      <c r="EI40" s="98" t="s">
        <v>53</v>
      </c>
      <c r="EJ40" s="269">
        <v>2013</v>
      </c>
      <c r="EK40" s="271"/>
      <c r="EL40" s="51" t="str">
        <f t="shared" si="45"/>
        <v>- - -</v>
      </c>
      <c r="EM40" s="749" t="str">
        <f t="shared" si="46"/>
        <v>---</v>
      </c>
      <c r="EN40" s="749"/>
      <c r="EO40" s="749"/>
      <c r="EP40" s="749"/>
      <c r="EQ40" s="749"/>
      <c r="ER40" s="749"/>
      <c r="ES40" s="749"/>
      <c r="ET40" s="749"/>
      <c r="EU40" s="749"/>
      <c r="EV40" s="749"/>
      <c r="EW40" s="749"/>
      <c r="EX40" s="749"/>
      <c r="EY40" s="749"/>
      <c r="EZ40" s="749"/>
      <c r="FA40" s="749"/>
      <c r="FB40" s="749"/>
      <c r="FC40" s="749"/>
      <c r="FD40" s="749"/>
      <c r="FE40" s="749"/>
      <c r="FF40" s="749"/>
      <c r="FG40" s="749"/>
      <c r="FH40" s="749"/>
      <c r="FI40" s="749"/>
      <c r="FJ40" s="749"/>
      <c r="FK40" s="750"/>
      <c r="FL40" s="750"/>
      <c r="FM40" s="750"/>
      <c r="FN40" s="750"/>
      <c r="FO40" s="750"/>
      <c r="FP40" s="867"/>
      <c r="FQ40" s="867"/>
      <c r="FR40" s="867"/>
      <c r="FS40" s="867"/>
      <c r="FT40" s="867"/>
      <c r="FU40" s="867"/>
      <c r="FV40" s="867"/>
      <c r="FW40" s="867"/>
      <c r="FX40" s="867"/>
      <c r="FY40" s="867"/>
      <c r="FZ40" s="867"/>
      <c r="GA40" s="867"/>
      <c r="GB40" s="867"/>
      <c r="GC40" s="867"/>
      <c r="GD40" s="867"/>
      <c r="GE40" s="867"/>
      <c r="GF40" s="867"/>
      <c r="GG40" s="867"/>
      <c r="GH40" s="867"/>
      <c r="GI40" s="867"/>
      <c r="GJ40" s="867"/>
      <c r="GK40" s="867"/>
      <c r="GL40" s="867"/>
      <c r="GM40" s="867"/>
      <c r="GN40" s="867"/>
      <c r="GO40" s="867"/>
      <c r="GP40" s="867"/>
      <c r="GQ40" s="867"/>
      <c r="GR40" s="867"/>
      <c r="GS40" s="867"/>
      <c r="GT40" s="867"/>
      <c r="GU40" s="867"/>
      <c r="GV40" s="867"/>
      <c r="GW40" s="867"/>
      <c r="GX40" s="867"/>
      <c r="GY40" s="867"/>
      <c r="GZ40" s="867"/>
      <c r="HA40" s="867"/>
      <c r="HB40" s="867"/>
      <c r="HC40" s="867"/>
      <c r="HD40" s="867"/>
      <c r="HE40" s="867"/>
      <c r="HF40" s="867"/>
      <c r="HG40" s="867"/>
      <c r="HH40" s="867"/>
      <c r="HI40" s="867"/>
      <c r="HJ40" s="867"/>
      <c r="HK40" s="867"/>
      <c r="HL40" s="867"/>
      <c r="HM40" s="867"/>
      <c r="HN40" s="867"/>
      <c r="HO40" s="867"/>
      <c r="HP40" s="867"/>
    </row>
    <row r="41" spans="1:224" s="488" customFormat="1" ht="38.25" customHeight="1" x14ac:dyDescent="0.2">
      <c r="A41" s="98">
        <v>676</v>
      </c>
      <c r="B41" s="864">
        <v>25</v>
      </c>
      <c r="C41" s="98"/>
      <c r="D41" s="98" t="str">
        <f t="shared" si="0"/>
        <v>Bà</v>
      </c>
      <c r="E41" s="162" t="s">
        <v>288</v>
      </c>
      <c r="F41" s="98" t="s">
        <v>64</v>
      </c>
      <c r="G41" s="437" t="s">
        <v>32</v>
      </c>
      <c r="H41" s="438" t="s">
        <v>53</v>
      </c>
      <c r="I41" s="439" t="s">
        <v>49</v>
      </c>
      <c r="J41" s="438" t="s">
        <v>53</v>
      </c>
      <c r="K41" s="440">
        <v>1977</v>
      </c>
      <c r="L41" s="441" t="s">
        <v>83</v>
      </c>
      <c r="M41" s="442" t="str">
        <f t="shared" si="1"/>
        <v>VC</v>
      </c>
      <c r="N41" s="443"/>
      <c r="O41" s="444" t="e">
        <f t="shared" si="2"/>
        <v>#N/A</v>
      </c>
      <c r="P41" s="445"/>
      <c r="Q41" s="446" t="e">
        <f>VLOOKUP(P41,'[1]- DLiêu Gốc (Không sửa)'!$C$2:$H$116,2,0)</f>
        <v>#N/A</v>
      </c>
      <c r="R41" s="584" t="s">
        <v>153</v>
      </c>
      <c r="S41" s="448" t="s">
        <v>154</v>
      </c>
      <c r="T41" s="449" t="str">
        <f>VLOOKUP(Y41,'[2]- DLiêu Gốc -'!$C$2:$H$60,5,0)</f>
        <v>A1</v>
      </c>
      <c r="U41" s="450" t="str">
        <f>VLOOKUP(Y41,'[2]- DLiêu Gốc -'!$C$2:$H$60,6,0)</f>
        <v>- - -</v>
      </c>
      <c r="V41" s="727" t="s">
        <v>73</v>
      </c>
      <c r="W41" s="728" t="str">
        <f t="shared" si="3"/>
        <v>Giảng viên (hạng III)</v>
      </c>
      <c r="X41" s="729" t="str">
        <f t="shared" si="4"/>
        <v>V.07.01.03</v>
      </c>
      <c r="Y41" s="451" t="s">
        <v>77</v>
      </c>
      <c r="Z41" s="451" t="str">
        <f>VLOOKUP(Y41,'[2]- DLiêu Gốc -'!$C$1:$H$132,2,0)</f>
        <v>V.07.01.03</v>
      </c>
      <c r="AA41" s="268" t="str">
        <f t="shared" si="5"/>
        <v>Lương</v>
      </c>
      <c r="AB41" s="452">
        <v>5</v>
      </c>
      <c r="AC41" s="453" t="str">
        <f t="shared" si="6"/>
        <v>/</v>
      </c>
      <c r="AD41" s="454">
        <f t="shared" si="7"/>
        <v>9</v>
      </c>
      <c r="AE41" s="455">
        <f t="shared" si="8"/>
        <v>3.66</v>
      </c>
      <c r="AF41" s="456"/>
      <c r="AG41" s="456"/>
      <c r="AH41" s="457"/>
      <c r="AI41" s="458"/>
      <c r="AJ41" s="459"/>
      <c r="AK41" s="458"/>
      <c r="AL41" s="460"/>
      <c r="AM41" s="461"/>
      <c r="AN41" s="462"/>
      <c r="AO41" s="463">
        <f t="shared" si="9"/>
        <v>6</v>
      </c>
      <c r="AP41" s="464" t="str">
        <f t="shared" si="10"/>
        <v>/</v>
      </c>
      <c r="AQ41" s="465">
        <f t="shared" si="11"/>
        <v>9</v>
      </c>
      <c r="AR41" s="265">
        <f t="shared" si="12"/>
        <v>3.99</v>
      </c>
      <c r="AS41" s="466"/>
      <c r="AT41" s="467" t="s">
        <v>43</v>
      </c>
      <c r="AU41" s="468" t="s">
        <v>53</v>
      </c>
      <c r="AV41" s="469" t="s">
        <v>43</v>
      </c>
      <c r="AW41" s="468" t="s">
        <v>53</v>
      </c>
      <c r="AX41" s="470">
        <v>2018</v>
      </c>
      <c r="AY41" s="471"/>
      <c r="AZ41" s="472">
        <v>1.18</v>
      </c>
      <c r="BA41" s="266">
        <f t="shared" si="13"/>
        <v>3</v>
      </c>
      <c r="BB41" s="473">
        <f t="shared" si="14"/>
        <v>-24217</v>
      </c>
      <c r="BC41" s="267">
        <f>VLOOKUP(Y41,'[2]- DLiêu Gốc -'!$C$1:$F$60,3,0)</f>
        <v>2.34</v>
      </c>
      <c r="BD41" s="267">
        <f>VLOOKUP(Y41,'[2]- DLiêu Gốc -'!$C$1:$F$60,4,0)</f>
        <v>0.33</v>
      </c>
      <c r="BE41" s="474" t="str">
        <f t="shared" si="15"/>
        <v>PCTN</v>
      </c>
      <c r="BF41" s="475">
        <v>14</v>
      </c>
      <c r="BG41" s="476" t="s">
        <v>41</v>
      </c>
      <c r="BH41" s="477" t="s">
        <v>43</v>
      </c>
      <c r="BI41" s="478" t="s">
        <v>53</v>
      </c>
      <c r="BJ41" s="730">
        <v>5</v>
      </c>
      <c r="BK41" s="479" t="s">
        <v>53</v>
      </c>
      <c r="BL41" s="480">
        <v>2017</v>
      </c>
      <c r="BM41" s="481"/>
      <c r="BN41" s="482"/>
      <c r="BO41" s="483">
        <f t="shared" si="16"/>
        <v>15</v>
      </c>
      <c r="BP41" s="484" t="s">
        <v>41</v>
      </c>
      <c r="BQ41" s="485" t="s">
        <v>43</v>
      </c>
      <c r="BR41" s="468" t="s">
        <v>53</v>
      </c>
      <c r="BS41" s="486">
        <v>5</v>
      </c>
      <c r="BT41" s="487" t="s">
        <v>53</v>
      </c>
      <c r="BU41" s="51">
        <v>2018</v>
      </c>
      <c r="BV41" s="731"/>
      <c r="BW41" s="865">
        <v>5</v>
      </c>
      <c r="BX41" s="840">
        <f t="shared" si="17"/>
        <v>-24221</v>
      </c>
      <c r="BY41" s="474" t="str">
        <f t="shared" si="18"/>
        <v>- - -</v>
      </c>
      <c r="BZ41" s="732" t="str">
        <f t="shared" si="19"/>
        <v>Chánh Văn phòng Học viện, Trưởng Ban Tổ chức - Cán bộ, Trưởng Phân viện Học viện Hành chính Quốc gia tại Thành phố Hồ Chí Minh</v>
      </c>
      <c r="CA41" s="3" t="str">
        <f t="shared" si="20"/>
        <v>A</v>
      </c>
      <c r="CB41" s="733" t="str">
        <f t="shared" si="21"/>
        <v>=&gt; s</v>
      </c>
      <c r="CC41" s="268">
        <f t="shared" si="22"/>
        <v>24241</v>
      </c>
      <c r="CD41" s="98" t="str">
        <f t="shared" si="23"/>
        <v>---</v>
      </c>
      <c r="CE41" s="98"/>
      <c r="CF41" s="866"/>
      <c r="CG41" s="98"/>
      <c r="CH41" s="734"/>
      <c r="CI41" s="98" t="str">
        <f t="shared" si="24"/>
        <v>- - -</v>
      </c>
      <c r="CJ41" s="269" t="str">
        <f t="shared" si="25"/>
        <v>- - -</v>
      </c>
      <c r="CK41" s="735"/>
      <c r="CL41" s="736"/>
      <c r="CM41" s="735"/>
      <c r="CN41" s="737"/>
      <c r="CO41" s="269" t="str">
        <f t="shared" si="26"/>
        <v>- - -</v>
      </c>
      <c r="CP41" s="735"/>
      <c r="CQ41" s="736"/>
      <c r="CR41" s="735"/>
      <c r="CS41" s="737"/>
      <c r="CT41" s="738" t="str">
        <f t="shared" si="27"/>
        <v>---</v>
      </c>
      <c r="CU41" s="739" t="str">
        <f t="shared" si="28"/>
        <v>/-/ /-/</v>
      </c>
      <c r="CV41" s="740">
        <f t="shared" si="29"/>
        <v>8</v>
      </c>
      <c r="CW41" s="741">
        <f t="shared" si="30"/>
        <v>2032</v>
      </c>
      <c r="CX41" s="740">
        <f t="shared" si="31"/>
        <v>5</v>
      </c>
      <c r="CY41" s="741">
        <f t="shared" si="32"/>
        <v>2032</v>
      </c>
      <c r="CZ41" s="740">
        <f t="shared" si="33"/>
        <v>2</v>
      </c>
      <c r="DA41" s="741">
        <f t="shared" si="34"/>
        <v>2032</v>
      </c>
      <c r="DB41" s="742" t="str">
        <f t="shared" si="35"/>
        <v>- - -</v>
      </c>
      <c r="DC41" s="743" t="str">
        <f t="shared" si="36"/>
        <v>. .</v>
      </c>
      <c r="DD41" s="743"/>
      <c r="DE41" s="268">
        <f t="shared" si="37"/>
        <v>660</v>
      </c>
      <c r="DF41" s="268">
        <f t="shared" si="38"/>
        <v>-23719</v>
      </c>
      <c r="DG41" s="268">
        <f t="shared" si="39"/>
        <v>-1977</v>
      </c>
      <c r="DH41" s="268" t="str">
        <f t="shared" si="40"/>
        <v>Nữ dưới 30</v>
      </c>
      <c r="DI41" s="268"/>
      <c r="DJ41" s="268"/>
      <c r="DK41" s="474" t="str">
        <f t="shared" si="41"/>
        <v>Đến 30</v>
      </c>
      <c r="DL41" s="735" t="str">
        <f t="shared" si="42"/>
        <v>TD</v>
      </c>
      <c r="DM41" s="744">
        <v>2012</v>
      </c>
      <c r="DN41" s="98"/>
      <c r="DO41" s="745"/>
      <c r="DP41" s="744"/>
      <c r="DQ41" s="737"/>
      <c r="DR41" s="746"/>
      <c r="DS41" s="279"/>
      <c r="DT41" s="270"/>
      <c r="DU41" s="51"/>
      <c r="DV41" s="447" t="s">
        <v>153</v>
      </c>
      <c r="DW41" s="467" t="s">
        <v>225</v>
      </c>
      <c r="DX41" s="469" t="s">
        <v>153</v>
      </c>
      <c r="DY41" s="469" t="s">
        <v>43</v>
      </c>
      <c r="DZ41" s="469" t="s">
        <v>53</v>
      </c>
      <c r="EA41" s="747" t="s">
        <v>43</v>
      </c>
      <c r="EB41" s="469" t="s">
        <v>53</v>
      </c>
      <c r="EC41" s="748" t="s">
        <v>62</v>
      </c>
      <c r="ED41" s="467">
        <f t="shared" si="43"/>
        <v>0</v>
      </c>
      <c r="EE41" s="469" t="str">
        <f t="shared" si="44"/>
        <v>- - -</v>
      </c>
      <c r="EF41" s="469" t="s">
        <v>43</v>
      </c>
      <c r="EG41" s="469" t="s">
        <v>53</v>
      </c>
      <c r="EH41" s="747" t="s">
        <v>43</v>
      </c>
      <c r="EI41" s="98" t="s">
        <v>53</v>
      </c>
      <c r="EJ41" s="269" t="s">
        <v>62</v>
      </c>
      <c r="EK41" s="271"/>
      <c r="EL41" s="51" t="str">
        <f t="shared" si="45"/>
        <v>- - -</v>
      </c>
      <c r="EM41" s="749" t="str">
        <f t="shared" si="46"/>
        <v>---</v>
      </c>
      <c r="EN41" s="749"/>
      <c r="EO41" s="749"/>
      <c r="EP41" s="749"/>
      <c r="EQ41" s="749"/>
      <c r="ER41" s="749"/>
      <c r="ES41" s="749"/>
      <c r="ET41" s="749"/>
      <c r="EU41" s="749"/>
      <c r="EV41" s="749"/>
      <c r="EW41" s="749"/>
      <c r="EX41" s="749"/>
      <c r="EY41" s="749"/>
      <c r="EZ41" s="749"/>
      <c r="FA41" s="749"/>
      <c r="FB41" s="749"/>
      <c r="FC41" s="749"/>
      <c r="FD41" s="749"/>
      <c r="FE41" s="749"/>
      <c r="FF41" s="749"/>
      <c r="FG41" s="749"/>
      <c r="FH41" s="749"/>
      <c r="FI41" s="749"/>
      <c r="FJ41" s="749"/>
      <c r="FK41" s="750"/>
      <c r="FL41" s="750"/>
      <c r="FM41" s="750"/>
      <c r="FN41" s="750"/>
      <c r="FO41" s="750"/>
      <c r="FP41" s="867"/>
      <c r="FQ41" s="867"/>
      <c r="FR41" s="867"/>
      <c r="FS41" s="867"/>
      <c r="FT41" s="867"/>
      <c r="FU41" s="867"/>
      <c r="FV41" s="867"/>
      <c r="FW41" s="867"/>
      <c r="FX41" s="867"/>
      <c r="FY41" s="867"/>
      <c r="FZ41" s="867"/>
      <c r="GA41" s="867"/>
      <c r="GB41" s="867"/>
      <c r="GC41" s="867"/>
      <c r="GD41" s="867"/>
      <c r="GE41" s="867"/>
      <c r="GF41" s="867"/>
      <c r="GG41" s="867"/>
      <c r="GH41" s="867"/>
      <c r="GI41" s="867"/>
      <c r="GJ41" s="867"/>
      <c r="GK41" s="867"/>
      <c r="GL41" s="867"/>
      <c r="GM41" s="867"/>
      <c r="GN41" s="867"/>
      <c r="GO41" s="867"/>
      <c r="GP41" s="867"/>
      <c r="GQ41" s="867"/>
      <c r="GR41" s="867"/>
      <c r="GS41" s="867"/>
      <c r="GT41" s="867"/>
      <c r="GU41" s="867"/>
      <c r="GV41" s="867"/>
      <c r="GW41" s="867"/>
      <c r="GX41" s="867"/>
      <c r="GY41" s="867"/>
      <c r="GZ41" s="867"/>
      <c r="HA41" s="867"/>
      <c r="HB41" s="867"/>
      <c r="HC41" s="867"/>
      <c r="HD41" s="867"/>
      <c r="HE41" s="867"/>
      <c r="HF41" s="867"/>
      <c r="HG41" s="867"/>
      <c r="HH41" s="867"/>
      <c r="HI41" s="867"/>
      <c r="HJ41" s="867"/>
      <c r="HK41" s="867"/>
      <c r="HL41" s="867"/>
      <c r="HM41" s="867"/>
      <c r="HN41" s="867"/>
      <c r="HO41" s="867"/>
      <c r="HP41" s="867"/>
    </row>
    <row r="42" spans="1:224" s="488" customFormat="1" ht="38.25" customHeight="1" x14ac:dyDescent="0.2">
      <c r="A42" s="98">
        <v>682</v>
      </c>
      <c r="B42" s="864">
        <v>26</v>
      </c>
      <c r="C42" s="98"/>
      <c r="D42" s="98" t="str">
        <f t="shared" si="0"/>
        <v>Ông</v>
      </c>
      <c r="E42" s="162" t="s">
        <v>289</v>
      </c>
      <c r="F42" s="98" t="s">
        <v>63</v>
      </c>
      <c r="G42" s="437" t="s">
        <v>44</v>
      </c>
      <c r="H42" s="438" t="s">
        <v>53</v>
      </c>
      <c r="I42" s="439">
        <v>8</v>
      </c>
      <c r="J42" s="438" t="s">
        <v>53</v>
      </c>
      <c r="K42" s="440">
        <v>1963</v>
      </c>
      <c r="L42" s="441" t="s">
        <v>83</v>
      </c>
      <c r="M42" s="442" t="str">
        <f t="shared" si="1"/>
        <v>VC</v>
      </c>
      <c r="N42" s="443"/>
      <c r="O42" s="444" t="e">
        <f t="shared" si="2"/>
        <v>#N/A</v>
      </c>
      <c r="P42" s="445"/>
      <c r="Q42" s="446" t="e">
        <f>VLOOKUP(P42,'[1]- DLiêu Gốc (Không sửa)'!$C$2:$H$116,2,0)</f>
        <v>#N/A</v>
      </c>
      <c r="R42" s="584" t="s">
        <v>153</v>
      </c>
      <c r="S42" s="448" t="s">
        <v>154</v>
      </c>
      <c r="T42" s="449" t="str">
        <f>VLOOKUP(Y42,'[2]- DLiêu Gốc -'!$C$2:$H$60,5,0)</f>
        <v>A1</v>
      </c>
      <c r="U42" s="450" t="str">
        <f>VLOOKUP(Y42,'[2]- DLiêu Gốc -'!$C$2:$H$60,6,0)</f>
        <v>- - -</v>
      </c>
      <c r="V42" s="727" t="s">
        <v>73</v>
      </c>
      <c r="W42" s="728" t="str">
        <f t="shared" si="3"/>
        <v>Giảng viên (hạng III)</v>
      </c>
      <c r="X42" s="729" t="str">
        <f t="shared" si="4"/>
        <v>V.07.01.03</v>
      </c>
      <c r="Y42" s="451" t="s">
        <v>77</v>
      </c>
      <c r="Z42" s="451" t="str">
        <f>VLOOKUP(Y42,'[2]- DLiêu Gốc -'!$C$1:$H$132,2,0)</f>
        <v>V.07.01.03</v>
      </c>
      <c r="AA42" s="268" t="str">
        <f t="shared" si="5"/>
        <v>Lương</v>
      </c>
      <c r="AB42" s="452">
        <v>6</v>
      </c>
      <c r="AC42" s="453" t="str">
        <f t="shared" si="6"/>
        <v>/</v>
      </c>
      <c r="AD42" s="454">
        <f t="shared" si="7"/>
        <v>9</v>
      </c>
      <c r="AE42" s="455">
        <f t="shared" si="8"/>
        <v>3.99</v>
      </c>
      <c r="AF42" s="456"/>
      <c r="AG42" s="456"/>
      <c r="AH42" s="457"/>
      <c r="AI42" s="458"/>
      <c r="AJ42" s="459"/>
      <c r="AK42" s="458"/>
      <c r="AL42" s="460"/>
      <c r="AM42" s="461"/>
      <c r="AN42" s="462"/>
      <c r="AO42" s="463">
        <f t="shared" si="9"/>
        <v>7</v>
      </c>
      <c r="AP42" s="464" t="str">
        <f t="shared" si="10"/>
        <v>/</v>
      </c>
      <c r="AQ42" s="465">
        <f t="shared" si="11"/>
        <v>9</v>
      </c>
      <c r="AR42" s="265">
        <f t="shared" si="12"/>
        <v>4.32</v>
      </c>
      <c r="AS42" s="466"/>
      <c r="AT42" s="467" t="s">
        <v>43</v>
      </c>
      <c r="AU42" s="468" t="s">
        <v>53</v>
      </c>
      <c r="AV42" s="469" t="s">
        <v>47</v>
      </c>
      <c r="AW42" s="468" t="s">
        <v>53</v>
      </c>
      <c r="AX42" s="470">
        <v>2017</v>
      </c>
      <c r="AY42" s="471"/>
      <c r="AZ42" s="472"/>
      <c r="BA42" s="266">
        <f t="shared" si="13"/>
        <v>3</v>
      </c>
      <c r="BB42" s="473">
        <f t="shared" si="14"/>
        <v>-24212</v>
      </c>
      <c r="BC42" s="267">
        <f>VLOOKUP(Y42,'[2]- DLiêu Gốc -'!$C$1:$F$60,3,0)</f>
        <v>2.34</v>
      </c>
      <c r="BD42" s="267">
        <f>VLOOKUP(Y42,'[2]- DLiêu Gốc -'!$C$1:$F$60,4,0)</f>
        <v>0.33</v>
      </c>
      <c r="BE42" s="474" t="str">
        <f t="shared" si="15"/>
        <v>PCTN</v>
      </c>
      <c r="BF42" s="475">
        <v>14</v>
      </c>
      <c r="BG42" s="476" t="s">
        <v>41</v>
      </c>
      <c r="BH42" s="477" t="s">
        <v>43</v>
      </c>
      <c r="BI42" s="478" t="s">
        <v>53</v>
      </c>
      <c r="BJ42" s="730">
        <v>5</v>
      </c>
      <c r="BK42" s="479" t="s">
        <v>53</v>
      </c>
      <c r="BL42" s="480">
        <v>2017</v>
      </c>
      <c r="BM42" s="481"/>
      <c r="BN42" s="482"/>
      <c r="BO42" s="483">
        <f t="shared" si="16"/>
        <v>15</v>
      </c>
      <c r="BP42" s="484" t="s">
        <v>41</v>
      </c>
      <c r="BQ42" s="485" t="s">
        <v>43</v>
      </c>
      <c r="BR42" s="468" t="s">
        <v>53</v>
      </c>
      <c r="BS42" s="486">
        <v>5</v>
      </c>
      <c r="BT42" s="487" t="s">
        <v>53</v>
      </c>
      <c r="BU42" s="51">
        <v>2018</v>
      </c>
      <c r="BV42" s="731"/>
      <c r="BW42" s="865">
        <v>5</v>
      </c>
      <c r="BX42" s="840">
        <f t="shared" si="17"/>
        <v>-24221</v>
      </c>
      <c r="BY42" s="474" t="str">
        <f t="shared" si="18"/>
        <v>- - -</v>
      </c>
      <c r="BZ42" s="732" t="str">
        <f t="shared" si="19"/>
        <v>Chánh Văn phòng Học viện, Trưởng Ban Tổ chức - Cán bộ, Trưởng Phân viện Học viện Hành chính Quốc gia tại Thành phố Hồ Chí Minh</v>
      </c>
      <c r="CA42" s="3" t="str">
        <f t="shared" si="20"/>
        <v>A</v>
      </c>
      <c r="CB42" s="733" t="str">
        <f t="shared" si="21"/>
        <v>=&gt; s</v>
      </c>
      <c r="CC42" s="268">
        <f t="shared" si="22"/>
        <v>24236</v>
      </c>
      <c r="CD42" s="98" t="str">
        <f t="shared" si="23"/>
        <v>---</v>
      </c>
      <c r="CE42" s="98"/>
      <c r="CF42" s="866"/>
      <c r="CG42" s="98"/>
      <c r="CH42" s="734"/>
      <c r="CI42" s="98" t="str">
        <f t="shared" si="24"/>
        <v>- - -</v>
      </c>
      <c r="CJ42" s="269" t="str">
        <f t="shared" si="25"/>
        <v>- - -</v>
      </c>
      <c r="CK42" s="735"/>
      <c r="CL42" s="736"/>
      <c r="CM42" s="735"/>
      <c r="CN42" s="737"/>
      <c r="CO42" s="269" t="str">
        <f t="shared" si="26"/>
        <v>- - -</v>
      </c>
      <c r="CP42" s="735"/>
      <c r="CQ42" s="736"/>
      <c r="CR42" s="735"/>
      <c r="CS42" s="737"/>
      <c r="CT42" s="738" t="str">
        <f t="shared" si="27"/>
        <v>---</v>
      </c>
      <c r="CU42" s="739" t="str">
        <f t="shared" si="28"/>
        <v>/-/ /-/</v>
      </c>
      <c r="CV42" s="740">
        <f t="shared" si="29"/>
        <v>9</v>
      </c>
      <c r="CW42" s="741">
        <f t="shared" si="30"/>
        <v>2023</v>
      </c>
      <c r="CX42" s="740">
        <f t="shared" si="31"/>
        <v>6</v>
      </c>
      <c r="CY42" s="741">
        <f t="shared" si="32"/>
        <v>2023</v>
      </c>
      <c r="CZ42" s="740">
        <f t="shared" si="33"/>
        <v>3</v>
      </c>
      <c r="DA42" s="741">
        <f t="shared" si="34"/>
        <v>2023</v>
      </c>
      <c r="DB42" s="742" t="str">
        <f t="shared" si="35"/>
        <v>- - -</v>
      </c>
      <c r="DC42" s="743" t="str">
        <f t="shared" si="36"/>
        <v>. .</v>
      </c>
      <c r="DD42" s="743"/>
      <c r="DE42" s="268">
        <f t="shared" si="37"/>
        <v>720</v>
      </c>
      <c r="DF42" s="268">
        <f t="shared" si="38"/>
        <v>-23552</v>
      </c>
      <c r="DG42" s="268">
        <f t="shared" si="39"/>
        <v>-1963</v>
      </c>
      <c r="DH42" s="268" t="str">
        <f t="shared" si="40"/>
        <v>Nam dưới 35</v>
      </c>
      <c r="DI42" s="268"/>
      <c r="DJ42" s="268"/>
      <c r="DK42" s="474" t="str">
        <f t="shared" si="41"/>
        <v>Đến 30</v>
      </c>
      <c r="DL42" s="735" t="str">
        <f t="shared" si="42"/>
        <v>TD</v>
      </c>
      <c r="DM42" s="744">
        <v>2009</v>
      </c>
      <c r="DN42" s="98"/>
      <c r="DO42" s="745"/>
      <c r="DP42" s="744"/>
      <c r="DQ42" s="737"/>
      <c r="DR42" s="746"/>
      <c r="DS42" s="279"/>
      <c r="DT42" s="270"/>
      <c r="DU42" s="51"/>
      <c r="DV42" s="447" t="s">
        <v>153</v>
      </c>
      <c r="DW42" s="467" t="s">
        <v>225</v>
      </c>
      <c r="DX42" s="469" t="s">
        <v>153</v>
      </c>
      <c r="DY42" s="469" t="s">
        <v>43</v>
      </c>
      <c r="DZ42" s="469" t="s">
        <v>53</v>
      </c>
      <c r="EA42" s="747" t="s">
        <v>47</v>
      </c>
      <c r="EB42" s="469" t="s">
        <v>53</v>
      </c>
      <c r="EC42" s="748" t="s">
        <v>55</v>
      </c>
      <c r="ED42" s="467">
        <f t="shared" si="43"/>
        <v>0</v>
      </c>
      <c r="EE42" s="469" t="str">
        <f t="shared" si="44"/>
        <v>- - -</v>
      </c>
      <c r="EF42" s="469" t="s">
        <v>43</v>
      </c>
      <c r="EG42" s="469" t="s">
        <v>53</v>
      </c>
      <c r="EH42" s="747" t="s">
        <v>47</v>
      </c>
      <c r="EI42" s="98" t="s">
        <v>53</v>
      </c>
      <c r="EJ42" s="269" t="s">
        <v>55</v>
      </c>
      <c r="EK42" s="271"/>
      <c r="EL42" s="51" t="str">
        <f t="shared" si="45"/>
        <v>- - -</v>
      </c>
      <c r="EM42" s="749" t="str">
        <f t="shared" si="46"/>
        <v>---</v>
      </c>
      <c r="EN42" s="749"/>
      <c r="EO42" s="749"/>
      <c r="EP42" s="749"/>
      <c r="EQ42" s="749"/>
      <c r="ER42" s="749"/>
      <c r="ES42" s="749"/>
      <c r="ET42" s="749"/>
      <c r="EU42" s="749"/>
      <c r="EV42" s="749"/>
      <c r="EW42" s="749"/>
      <c r="EX42" s="749"/>
      <c r="EY42" s="749"/>
      <c r="EZ42" s="749"/>
      <c r="FA42" s="749"/>
      <c r="FB42" s="749"/>
      <c r="FC42" s="749"/>
      <c r="FD42" s="749"/>
      <c r="FE42" s="749"/>
      <c r="FF42" s="749"/>
      <c r="FG42" s="749"/>
      <c r="FH42" s="749"/>
      <c r="FI42" s="749"/>
      <c r="FJ42" s="749"/>
      <c r="FK42" s="750"/>
      <c r="FL42" s="750"/>
      <c r="FM42" s="750"/>
      <c r="FN42" s="750"/>
      <c r="FO42" s="750"/>
      <c r="FP42" s="867"/>
      <c r="FQ42" s="867"/>
      <c r="FR42" s="867"/>
      <c r="FS42" s="867"/>
      <c r="FT42" s="867"/>
      <c r="FU42" s="867"/>
      <c r="FV42" s="867"/>
      <c r="FW42" s="867"/>
      <c r="FX42" s="867"/>
      <c r="FY42" s="867"/>
      <c r="FZ42" s="867"/>
      <c r="GA42" s="867"/>
      <c r="GB42" s="867"/>
      <c r="GC42" s="867"/>
      <c r="GD42" s="867"/>
      <c r="GE42" s="867"/>
      <c r="GF42" s="867"/>
      <c r="GG42" s="867"/>
      <c r="GH42" s="867"/>
      <c r="GI42" s="867"/>
      <c r="GJ42" s="867"/>
      <c r="GK42" s="867"/>
      <c r="GL42" s="867"/>
      <c r="GM42" s="867"/>
      <c r="GN42" s="867"/>
      <c r="GO42" s="867"/>
      <c r="GP42" s="867"/>
      <c r="GQ42" s="867"/>
      <c r="GR42" s="867"/>
      <c r="GS42" s="867"/>
      <c r="GT42" s="867"/>
      <c r="GU42" s="867"/>
      <c r="GV42" s="867"/>
      <c r="GW42" s="867"/>
      <c r="GX42" s="867"/>
      <c r="GY42" s="867"/>
      <c r="GZ42" s="867"/>
      <c r="HA42" s="867"/>
      <c r="HB42" s="867"/>
      <c r="HC42" s="867"/>
      <c r="HD42" s="867"/>
      <c r="HE42" s="867"/>
      <c r="HF42" s="867"/>
      <c r="HG42" s="867"/>
      <c r="HH42" s="867"/>
      <c r="HI42" s="867"/>
      <c r="HJ42" s="867"/>
      <c r="HK42" s="867"/>
      <c r="HL42" s="867"/>
      <c r="HM42" s="867"/>
      <c r="HN42" s="867"/>
      <c r="HO42" s="867"/>
      <c r="HP42" s="867"/>
    </row>
    <row r="43" spans="1:224" s="488" customFormat="1" ht="38.25" customHeight="1" x14ac:dyDescent="0.2">
      <c r="A43" s="98">
        <v>683</v>
      </c>
      <c r="B43" s="864">
        <v>27</v>
      </c>
      <c r="C43" s="98"/>
      <c r="D43" s="98" t="str">
        <f t="shared" si="0"/>
        <v>Ông</v>
      </c>
      <c r="E43" s="162" t="s">
        <v>290</v>
      </c>
      <c r="F43" s="98" t="s">
        <v>63</v>
      </c>
      <c r="G43" s="437" t="s">
        <v>43</v>
      </c>
      <c r="H43" s="438" t="s">
        <v>53</v>
      </c>
      <c r="I43" s="439" t="s">
        <v>58</v>
      </c>
      <c r="J43" s="438" t="s">
        <v>53</v>
      </c>
      <c r="K43" s="440" t="s">
        <v>147</v>
      </c>
      <c r="L43" s="441" t="s">
        <v>83</v>
      </c>
      <c r="M43" s="442" t="str">
        <f t="shared" si="1"/>
        <v>VC</v>
      </c>
      <c r="N43" s="443"/>
      <c r="O43" s="444" t="e">
        <f t="shared" si="2"/>
        <v>#N/A</v>
      </c>
      <c r="P43" s="445"/>
      <c r="Q43" s="446" t="e">
        <f>VLOOKUP(P43,'[1]- DLiêu Gốc (Không sửa)'!$C$2:$H$116,2,0)</f>
        <v>#N/A</v>
      </c>
      <c r="R43" s="584" t="s">
        <v>153</v>
      </c>
      <c r="S43" s="448" t="s">
        <v>154</v>
      </c>
      <c r="T43" s="449" t="str">
        <f>VLOOKUP(Y43,'[2]- DLiêu Gốc -'!$C$2:$H$60,5,0)</f>
        <v>A1</v>
      </c>
      <c r="U43" s="450" t="str">
        <f>VLOOKUP(Y43,'[2]- DLiêu Gốc -'!$C$2:$H$60,6,0)</f>
        <v>- - -</v>
      </c>
      <c r="V43" s="727" t="s">
        <v>73</v>
      </c>
      <c r="W43" s="728" t="str">
        <f t="shared" si="3"/>
        <v>Giảng viên (hạng III)</v>
      </c>
      <c r="X43" s="729" t="str">
        <f t="shared" si="4"/>
        <v>V.07.01.03</v>
      </c>
      <c r="Y43" s="451" t="s">
        <v>77</v>
      </c>
      <c r="Z43" s="451" t="str">
        <f>VLOOKUP(Y43,'[2]- DLiêu Gốc -'!$C$1:$H$132,2,0)</f>
        <v>V.07.01.03</v>
      </c>
      <c r="AA43" s="268" t="str">
        <f t="shared" si="5"/>
        <v>Lương</v>
      </c>
      <c r="AB43" s="452">
        <v>5</v>
      </c>
      <c r="AC43" s="453" t="str">
        <f t="shared" si="6"/>
        <v>/</v>
      </c>
      <c r="AD43" s="454">
        <f t="shared" si="7"/>
        <v>9</v>
      </c>
      <c r="AE43" s="455">
        <f t="shared" si="8"/>
        <v>3.66</v>
      </c>
      <c r="AF43" s="456"/>
      <c r="AG43" s="456"/>
      <c r="AH43" s="457" t="s">
        <v>43</v>
      </c>
      <c r="AI43" s="458" t="s">
        <v>53</v>
      </c>
      <c r="AJ43" s="459" t="s">
        <v>44</v>
      </c>
      <c r="AK43" s="458" t="s">
        <v>53</v>
      </c>
      <c r="AL43" s="460">
        <v>2015</v>
      </c>
      <c r="AM43" s="461"/>
      <c r="AN43" s="462"/>
      <c r="AO43" s="463">
        <f t="shared" si="9"/>
        <v>6</v>
      </c>
      <c r="AP43" s="464" t="str">
        <f t="shared" si="10"/>
        <v>/</v>
      </c>
      <c r="AQ43" s="465">
        <f t="shared" si="11"/>
        <v>9</v>
      </c>
      <c r="AR43" s="265">
        <f t="shared" si="12"/>
        <v>3.99</v>
      </c>
      <c r="AS43" s="466"/>
      <c r="AT43" s="467" t="s">
        <v>43</v>
      </c>
      <c r="AU43" s="468" t="s">
        <v>53</v>
      </c>
      <c r="AV43" s="469" t="s">
        <v>44</v>
      </c>
      <c r="AW43" s="468" t="s">
        <v>53</v>
      </c>
      <c r="AX43" s="470">
        <v>2018</v>
      </c>
      <c r="AY43" s="471"/>
      <c r="AZ43" s="472">
        <v>2.1800000000000002</v>
      </c>
      <c r="BA43" s="266">
        <f t="shared" si="13"/>
        <v>3</v>
      </c>
      <c r="BB43" s="473">
        <f t="shared" si="14"/>
        <v>-24218</v>
      </c>
      <c r="BC43" s="267">
        <f>VLOOKUP(Y43,'[2]- DLiêu Gốc -'!$C$1:$F$60,3,0)</f>
        <v>2.34</v>
      </c>
      <c r="BD43" s="267">
        <f>VLOOKUP(Y43,'[2]- DLiêu Gốc -'!$C$1:$F$60,4,0)</f>
        <v>0.33</v>
      </c>
      <c r="BE43" s="474" t="str">
        <f t="shared" si="15"/>
        <v>PCTN</v>
      </c>
      <c r="BF43" s="475">
        <v>14</v>
      </c>
      <c r="BG43" s="476" t="s">
        <v>41</v>
      </c>
      <c r="BH43" s="477" t="s">
        <v>43</v>
      </c>
      <c r="BI43" s="478" t="s">
        <v>53</v>
      </c>
      <c r="BJ43" s="730">
        <v>5</v>
      </c>
      <c r="BK43" s="479" t="s">
        <v>53</v>
      </c>
      <c r="BL43" s="480">
        <v>2017</v>
      </c>
      <c r="BM43" s="481"/>
      <c r="BN43" s="482"/>
      <c r="BO43" s="483">
        <f t="shared" si="16"/>
        <v>15</v>
      </c>
      <c r="BP43" s="484" t="s">
        <v>41</v>
      </c>
      <c r="BQ43" s="485" t="s">
        <v>43</v>
      </c>
      <c r="BR43" s="468" t="s">
        <v>53</v>
      </c>
      <c r="BS43" s="486">
        <v>5</v>
      </c>
      <c r="BT43" s="487" t="s">
        <v>53</v>
      </c>
      <c r="BU43" s="51">
        <v>2018</v>
      </c>
      <c r="BV43" s="731"/>
      <c r="BW43" s="865">
        <v>5</v>
      </c>
      <c r="BX43" s="840">
        <f t="shared" si="17"/>
        <v>-24221</v>
      </c>
      <c r="BY43" s="474" t="str">
        <f t="shared" si="18"/>
        <v>- - -</v>
      </c>
      <c r="BZ43" s="732" t="str">
        <f t="shared" si="19"/>
        <v>Chánh Văn phòng Học viện, Trưởng Ban Tổ chức - Cán bộ, Trưởng Phân viện Học viện Hành chính Quốc gia tại Thành phố Hồ Chí Minh</v>
      </c>
      <c r="CA43" s="3" t="str">
        <f t="shared" si="20"/>
        <v>A</v>
      </c>
      <c r="CB43" s="733" t="str">
        <f t="shared" si="21"/>
        <v>=&gt; s</v>
      </c>
      <c r="CC43" s="268">
        <f t="shared" si="22"/>
        <v>24242</v>
      </c>
      <c r="CD43" s="98" t="str">
        <f t="shared" si="23"/>
        <v>---</v>
      </c>
      <c r="CE43" s="98"/>
      <c r="CF43" s="866"/>
      <c r="CG43" s="98"/>
      <c r="CH43" s="734"/>
      <c r="CI43" s="98" t="str">
        <f t="shared" si="24"/>
        <v>- - -</v>
      </c>
      <c r="CJ43" s="269" t="str">
        <f t="shared" si="25"/>
        <v>- - -</v>
      </c>
      <c r="CK43" s="735"/>
      <c r="CL43" s="736"/>
      <c r="CM43" s="735"/>
      <c r="CN43" s="737"/>
      <c r="CO43" s="269" t="str">
        <f t="shared" si="26"/>
        <v>- - -</v>
      </c>
      <c r="CP43" s="735"/>
      <c r="CQ43" s="736"/>
      <c r="CR43" s="735"/>
      <c r="CS43" s="737"/>
      <c r="CT43" s="738" t="str">
        <f t="shared" si="27"/>
        <v>---</v>
      </c>
      <c r="CU43" s="739" t="str">
        <f t="shared" si="28"/>
        <v>/-/ /-/</v>
      </c>
      <c r="CV43" s="740">
        <f t="shared" si="29"/>
        <v>12</v>
      </c>
      <c r="CW43" s="741">
        <f t="shared" si="30"/>
        <v>2037</v>
      </c>
      <c r="CX43" s="740">
        <f t="shared" si="31"/>
        <v>9</v>
      </c>
      <c r="CY43" s="741">
        <f t="shared" si="32"/>
        <v>2037</v>
      </c>
      <c r="CZ43" s="740">
        <f t="shared" si="33"/>
        <v>6</v>
      </c>
      <c r="DA43" s="741">
        <f t="shared" si="34"/>
        <v>2037</v>
      </c>
      <c r="DB43" s="742" t="str">
        <f t="shared" si="35"/>
        <v>- - -</v>
      </c>
      <c r="DC43" s="743" t="str">
        <f t="shared" si="36"/>
        <v>. .</v>
      </c>
      <c r="DD43" s="743"/>
      <c r="DE43" s="268">
        <f t="shared" si="37"/>
        <v>720</v>
      </c>
      <c r="DF43" s="268">
        <f t="shared" si="38"/>
        <v>-23723</v>
      </c>
      <c r="DG43" s="268">
        <f t="shared" si="39"/>
        <v>-1977</v>
      </c>
      <c r="DH43" s="268" t="str">
        <f t="shared" si="40"/>
        <v>Nam dưới 35</v>
      </c>
      <c r="DI43" s="268"/>
      <c r="DJ43" s="268"/>
      <c r="DK43" s="474" t="str">
        <f t="shared" si="41"/>
        <v>Đến 30</v>
      </c>
      <c r="DL43" s="735" t="str">
        <f t="shared" si="42"/>
        <v>TD</v>
      </c>
      <c r="DM43" s="744">
        <v>2009</v>
      </c>
      <c r="DN43" s="98"/>
      <c r="DO43" s="745"/>
      <c r="DP43" s="744"/>
      <c r="DQ43" s="737"/>
      <c r="DR43" s="746"/>
      <c r="DS43" s="279"/>
      <c r="DT43" s="270"/>
      <c r="DU43" s="51"/>
      <c r="DV43" s="447" t="s">
        <v>153</v>
      </c>
      <c r="DW43" s="467" t="s">
        <v>225</v>
      </c>
      <c r="DX43" s="469" t="s">
        <v>153</v>
      </c>
      <c r="DY43" s="469" t="s">
        <v>43</v>
      </c>
      <c r="DZ43" s="469" t="s">
        <v>53</v>
      </c>
      <c r="EA43" s="747" t="s">
        <v>44</v>
      </c>
      <c r="EB43" s="469" t="s">
        <v>53</v>
      </c>
      <c r="EC43" s="748" t="s">
        <v>62</v>
      </c>
      <c r="ED43" s="467">
        <f t="shared" si="43"/>
        <v>0</v>
      </c>
      <c r="EE43" s="469" t="str">
        <f t="shared" si="44"/>
        <v>- - -</v>
      </c>
      <c r="EF43" s="469" t="s">
        <v>43</v>
      </c>
      <c r="EG43" s="469" t="s">
        <v>53</v>
      </c>
      <c r="EH43" s="747" t="s">
        <v>44</v>
      </c>
      <c r="EI43" s="98" t="s">
        <v>53</v>
      </c>
      <c r="EJ43" s="269" t="s">
        <v>62</v>
      </c>
      <c r="EK43" s="271"/>
      <c r="EL43" s="51" t="str">
        <f t="shared" si="45"/>
        <v>- - -</v>
      </c>
      <c r="EM43" s="749" t="str">
        <f t="shared" si="46"/>
        <v>---</v>
      </c>
      <c r="EN43" s="749"/>
      <c r="EO43" s="749"/>
      <c r="EP43" s="749"/>
      <c r="EQ43" s="749"/>
      <c r="ER43" s="749"/>
      <c r="ES43" s="749"/>
      <c r="ET43" s="749"/>
      <c r="EU43" s="749"/>
      <c r="EV43" s="749"/>
      <c r="EW43" s="749"/>
      <c r="EX43" s="749"/>
      <c r="EY43" s="749"/>
      <c r="EZ43" s="749"/>
      <c r="FA43" s="749"/>
      <c r="FB43" s="749"/>
      <c r="FC43" s="749"/>
      <c r="FD43" s="749"/>
      <c r="FE43" s="749"/>
      <c r="FF43" s="749"/>
      <c r="FG43" s="749"/>
      <c r="FH43" s="749"/>
      <c r="FI43" s="749"/>
      <c r="FJ43" s="749"/>
      <c r="FK43" s="750"/>
      <c r="FL43" s="750"/>
      <c r="FM43" s="750"/>
      <c r="FN43" s="750"/>
      <c r="FO43" s="750"/>
      <c r="FP43" s="867"/>
      <c r="FQ43" s="867"/>
      <c r="FR43" s="867"/>
      <c r="FS43" s="867"/>
      <c r="FT43" s="867"/>
      <c r="FU43" s="867"/>
      <c r="FV43" s="867"/>
      <c r="FW43" s="867"/>
      <c r="FX43" s="867"/>
      <c r="FY43" s="867"/>
      <c r="FZ43" s="867"/>
      <c r="GA43" s="867"/>
      <c r="GB43" s="867"/>
      <c r="GC43" s="867"/>
      <c r="GD43" s="867"/>
      <c r="GE43" s="867"/>
      <c r="GF43" s="867"/>
      <c r="GG43" s="867"/>
      <c r="GH43" s="867"/>
      <c r="GI43" s="867"/>
      <c r="GJ43" s="867"/>
      <c r="GK43" s="867"/>
      <c r="GL43" s="867"/>
      <c r="GM43" s="867"/>
      <c r="GN43" s="867"/>
      <c r="GO43" s="867"/>
      <c r="GP43" s="867"/>
      <c r="GQ43" s="867"/>
      <c r="GR43" s="867"/>
      <c r="GS43" s="867"/>
      <c r="GT43" s="867"/>
      <c r="GU43" s="867"/>
      <c r="GV43" s="867"/>
      <c r="GW43" s="867"/>
      <c r="GX43" s="867"/>
      <c r="GY43" s="867"/>
      <c r="GZ43" s="867"/>
      <c r="HA43" s="867"/>
      <c r="HB43" s="867"/>
      <c r="HC43" s="867"/>
      <c r="HD43" s="867"/>
      <c r="HE43" s="867"/>
      <c r="HF43" s="867"/>
      <c r="HG43" s="867"/>
      <c r="HH43" s="867"/>
      <c r="HI43" s="867"/>
      <c r="HJ43" s="867"/>
      <c r="HK43" s="867"/>
      <c r="HL43" s="867"/>
      <c r="HM43" s="867"/>
      <c r="HN43" s="867"/>
      <c r="HO43" s="867"/>
      <c r="HP43" s="867"/>
    </row>
    <row r="44" spans="1:224" s="488" customFormat="1" ht="38.25" customHeight="1" x14ac:dyDescent="0.2">
      <c r="A44" s="98">
        <v>685</v>
      </c>
      <c r="B44" s="864">
        <v>28</v>
      </c>
      <c r="C44" s="98"/>
      <c r="D44" s="98" t="str">
        <f t="shared" si="0"/>
        <v>Bà</v>
      </c>
      <c r="E44" s="162" t="s">
        <v>291</v>
      </c>
      <c r="F44" s="98" t="s">
        <v>64</v>
      </c>
      <c r="G44" s="437" t="s">
        <v>44</v>
      </c>
      <c r="H44" s="438" t="s">
        <v>53</v>
      </c>
      <c r="I44" s="439" t="s">
        <v>44</v>
      </c>
      <c r="J44" s="438" t="s">
        <v>53</v>
      </c>
      <c r="K44" s="440">
        <v>1963</v>
      </c>
      <c r="L44" s="441" t="s">
        <v>83</v>
      </c>
      <c r="M44" s="442" t="str">
        <f t="shared" si="1"/>
        <v>VC</v>
      </c>
      <c r="N44" s="443"/>
      <c r="O44" s="444" t="e">
        <f t="shared" si="2"/>
        <v>#N/A</v>
      </c>
      <c r="P44" s="445"/>
      <c r="Q44" s="446" t="e">
        <f>VLOOKUP(P44,'[1]- DLiêu Gốc (Không sửa)'!$C$2:$H$116,2,0)</f>
        <v>#N/A</v>
      </c>
      <c r="R44" s="584" t="s">
        <v>292</v>
      </c>
      <c r="S44" s="448" t="s">
        <v>154</v>
      </c>
      <c r="T44" s="449" t="str">
        <f>VLOOKUP(Y44,'[2]- DLiêu Gốc -'!$C$2:$H$60,5,0)</f>
        <v>A1</v>
      </c>
      <c r="U44" s="450" t="str">
        <f>VLOOKUP(Y44,'[2]- DLiêu Gốc -'!$C$2:$H$60,6,0)</f>
        <v>- - -</v>
      </c>
      <c r="V44" s="727" t="s">
        <v>73</v>
      </c>
      <c r="W44" s="728" t="str">
        <f t="shared" si="3"/>
        <v>Giảng viên (hạng III)</v>
      </c>
      <c r="X44" s="729" t="str">
        <f t="shared" si="4"/>
        <v>V.07.01.03</v>
      </c>
      <c r="Y44" s="451" t="s">
        <v>77</v>
      </c>
      <c r="Z44" s="451" t="str">
        <f>VLOOKUP(Y44,'[2]- DLiêu Gốc -'!$C$1:$H$132,2,0)</f>
        <v>V.07.01.03</v>
      </c>
      <c r="AA44" s="268" t="str">
        <f t="shared" si="5"/>
        <v>Lương</v>
      </c>
      <c r="AB44" s="452">
        <v>6</v>
      </c>
      <c r="AC44" s="453" t="str">
        <f t="shared" si="6"/>
        <v>/</v>
      </c>
      <c r="AD44" s="454">
        <f t="shared" si="7"/>
        <v>9</v>
      </c>
      <c r="AE44" s="455">
        <f t="shared" si="8"/>
        <v>3.99</v>
      </c>
      <c r="AF44" s="456"/>
      <c r="AG44" s="456"/>
      <c r="AH44" s="457"/>
      <c r="AI44" s="458"/>
      <c r="AJ44" s="459"/>
      <c r="AK44" s="458"/>
      <c r="AL44" s="460"/>
      <c r="AM44" s="461"/>
      <c r="AN44" s="462"/>
      <c r="AO44" s="463">
        <f t="shared" si="9"/>
        <v>7</v>
      </c>
      <c r="AP44" s="464" t="str">
        <f t="shared" si="10"/>
        <v>/</v>
      </c>
      <c r="AQ44" s="465">
        <f t="shared" si="11"/>
        <v>9</v>
      </c>
      <c r="AR44" s="265">
        <f t="shared" si="12"/>
        <v>4.32</v>
      </c>
      <c r="AS44" s="466"/>
      <c r="AT44" s="467" t="s">
        <v>43</v>
      </c>
      <c r="AU44" s="468" t="s">
        <v>53</v>
      </c>
      <c r="AV44" s="469" t="s">
        <v>47</v>
      </c>
      <c r="AW44" s="468" t="s">
        <v>53</v>
      </c>
      <c r="AX44" s="470">
        <v>2016</v>
      </c>
      <c r="AY44" s="471"/>
      <c r="AZ44" s="472"/>
      <c r="BA44" s="266">
        <f t="shared" si="13"/>
        <v>3</v>
      </c>
      <c r="BB44" s="473">
        <f t="shared" si="14"/>
        <v>-24200</v>
      </c>
      <c r="BC44" s="267">
        <f>VLOOKUP(Y44,'[2]- DLiêu Gốc -'!$C$1:$F$60,3,0)</f>
        <v>2.34</v>
      </c>
      <c r="BD44" s="267">
        <f>VLOOKUP(Y44,'[2]- DLiêu Gốc -'!$C$1:$F$60,4,0)</f>
        <v>0.33</v>
      </c>
      <c r="BE44" s="474" t="str">
        <f t="shared" si="15"/>
        <v>PCTN</v>
      </c>
      <c r="BF44" s="475">
        <v>14</v>
      </c>
      <c r="BG44" s="476" t="s">
        <v>41</v>
      </c>
      <c r="BH44" s="477" t="s">
        <v>43</v>
      </c>
      <c r="BI44" s="478" t="s">
        <v>53</v>
      </c>
      <c r="BJ44" s="730">
        <v>5</v>
      </c>
      <c r="BK44" s="479" t="s">
        <v>53</v>
      </c>
      <c r="BL44" s="480">
        <v>2017</v>
      </c>
      <c r="BM44" s="481"/>
      <c r="BN44" s="482"/>
      <c r="BO44" s="483">
        <f t="shared" si="16"/>
        <v>15</v>
      </c>
      <c r="BP44" s="484" t="s">
        <v>41</v>
      </c>
      <c r="BQ44" s="485" t="s">
        <v>43</v>
      </c>
      <c r="BR44" s="468" t="s">
        <v>53</v>
      </c>
      <c r="BS44" s="486">
        <v>5</v>
      </c>
      <c r="BT44" s="487" t="s">
        <v>53</v>
      </c>
      <c r="BU44" s="51">
        <v>2018</v>
      </c>
      <c r="BV44" s="731"/>
      <c r="BW44" s="865">
        <v>5</v>
      </c>
      <c r="BX44" s="840">
        <f t="shared" si="17"/>
        <v>-24221</v>
      </c>
      <c r="BY44" s="474" t="str">
        <f t="shared" si="18"/>
        <v>- - -</v>
      </c>
      <c r="BZ44" s="732" t="str">
        <f t="shared" si="19"/>
        <v>Chánh Văn phòng Học viện, Trưởng Ban Tổ chức - Cán bộ, Trưởng Phân viện Học viện Hành chính Quốc gia tại Thành phố Hồ Chí Minh</v>
      </c>
      <c r="CA44" s="3" t="str">
        <f t="shared" si="20"/>
        <v>A</v>
      </c>
      <c r="CB44" s="733" t="str">
        <f t="shared" si="21"/>
        <v>=&gt; s</v>
      </c>
      <c r="CC44" s="268">
        <f t="shared" si="22"/>
        <v>24224</v>
      </c>
      <c r="CD44" s="98" t="str">
        <f t="shared" si="23"/>
        <v>---</v>
      </c>
      <c r="CE44" s="98"/>
      <c r="CF44" s="866"/>
      <c r="CG44" s="98"/>
      <c r="CH44" s="734"/>
      <c r="CI44" s="98" t="str">
        <f t="shared" si="24"/>
        <v>- - -</v>
      </c>
      <c r="CJ44" s="269" t="str">
        <f t="shared" si="25"/>
        <v>- - -</v>
      </c>
      <c r="CK44" s="735"/>
      <c r="CL44" s="736"/>
      <c r="CM44" s="735"/>
      <c r="CN44" s="737"/>
      <c r="CO44" s="269" t="str">
        <f t="shared" si="26"/>
        <v>- - -</v>
      </c>
      <c r="CP44" s="735"/>
      <c r="CQ44" s="736"/>
      <c r="CR44" s="735"/>
      <c r="CS44" s="737"/>
      <c r="CT44" s="738" t="str">
        <f t="shared" si="27"/>
        <v>---</v>
      </c>
      <c r="CU44" s="739" t="str">
        <f t="shared" si="28"/>
        <v>/-/ /-/</v>
      </c>
      <c r="CV44" s="740">
        <f t="shared" si="29"/>
        <v>3</v>
      </c>
      <c r="CW44" s="741">
        <f t="shared" si="30"/>
        <v>2018</v>
      </c>
      <c r="CX44" s="740">
        <f t="shared" si="31"/>
        <v>12</v>
      </c>
      <c r="CY44" s="741">
        <f t="shared" si="32"/>
        <v>2017</v>
      </c>
      <c r="CZ44" s="740">
        <f t="shared" si="33"/>
        <v>9</v>
      </c>
      <c r="DA44" s="741">
        <f t="shared" si="34"/>
        <v>2017</v>
      </c>
      <c r="DB44" s="742" t="str">
        <f t="shared" si="35"/>
        <v>- - -</v>
      </c>
      <c r="DC44" s="743" t="str">
        <f t="shared" si="36"/>
        <v>. .</v>
      </c>
      <c r="DD44" s="743"/>
      <c r="DE44" s="268">
        <f t="shared" si="37"/>
        <v>660</v>
      </c>
      <c r="DF44" s="268">
        <f t="shared" si="38"/>
        <v>-23546</v>
      </c>
      <c r="DG44" s="268">
        <f t="shared" si="39"/>
        <v>-1963</v>
      </c>
      <c r="DH44" s="268" t="str">
        <f t="shared" si="40"/>
        <v>Nữ dưới 30</v>
      </c>
      <c r="DI44" s="268"/>
      <c r="DJ44" s="268"/>
      <c r="DK44" s="474" t="str">
        <f t="shared" si="41"/>
        <v>Đến 30</v>
      </c>
      <c r="DL44" s="735" t="str">
        <f t="shared" si="42"/>
        <v>TD</v>
      </c>
      <c r="DM44" s="744">
        <v>2009</v>
      </c>
      <c r="DN44" s="98"/>
      <c r="DO44" s="745"/>
      <c r="DP44" s="744"/>
      <c r="DQ44" s="737"/>
      <c r="DR44" s="746"/>
      <c r="DS44" s="279"/>
      <c r="DT44" s="270"/>
      <c r="DU44" s="51"/>
      <c r="DV44" s="447" t="s">
        <v>292</v>
      </c>
      <c r="DW44" s="467" t="s">
        <v>225</v>
      </c>
      <c r="DX44" s="469" t="s">
        <v>292</v>
      </c>
      <c r="DY44" s="469" t="s">
        <v>43</v>
      </c>
      <c r="DZ44" s="469" t="s">
        <v>53</v>
      </c>
      <c r="EA44" s="747" t="s">
        <v>47</v>
      </c>
      <c r="EB44" s="469" t="s">
        <v>53</v>
      </c>
      <c r="EC44" s="748">
        <v>2013</v>
      </c>
      <c r="ED44" s="467">
        <f t="shared" si="43"/>
        <v>0</v>
      </c>
      <c r="EE44" s="469" t="str">
        <f t="shared" si="44"/>
        <v>- - -</v>
      </c>
      <c r="EF44" s="469" t="s">
        <v>43</v>
      </c>
      <c r="EG44" s="469" t="s">
        <v>53</v>
      </c>
      <c r="EH44" s="747" t="s">
        <v>47</v>
      </c>
      <c r="EI44" s="98" t="s">
        <v>53</v>
      </c>
      <c r="EJ44" s="269">
        <v>2013</v>
      </c>
      <c r="EK44" s="271"/>
      <c r="EL44" s="51" t="str">
        <f t="shared" si="45"/>
        <v>- - -</v>
      </c>
      <c r="EM44" s="749" t="str">
        <f t="shared" si="46"/>
        <v>---</v>
      </c>
      <c r="EN44" s="749"/>
      <c r="EO44" s="749"/>
      <c r="EP44" s="749"/>
      <c r="EQ44" s="749"/>
      <c r="ER44" s="749"/>
      <c r="ES44" s="749"/>
      <c r="ET44" s="749"/>
      <c r="EU44" s="749"/>
      <c r="EV44" s="749"/>
      <c r="EW44" s="749"/>
      <c r="EX44" s="749"/>
      <c r="EY44" s="749"/>
      <c r="EZ44" s="749"/>
      <c r="FA44" s="749"/>
      <c r="FB44" s="749"/>
      <c r="FC44" s="749"/>
      <c r="FD44" s="749"/>
      <c r="FE44" s="749"/>
      <c r="FF44" s="749"/>
      <c r="FG44" s="749"/>
      <c r="FH44" s="749"/>
      <c r="FI44" s="749"/>
      <c r="FJ44" s="749"/>
      <c r="FK44" s="750"/>
      <c r="FL44" s="750"/>
      <c r="FM44" s="750"/>
      <c r="FN44" s="750"/>
      <c r="FO44" s="750"/>
      <c r="FP44" s="867"/>
      <c r="FQ44" s="867"/>
      <c r="FR44" s="867"/>
      <c r="FS44" s="867"/>
      <c r="FT44" s="867"/>
      <c r="FU44" s="867"/>
      <c r="FV44" s="867"/>
      <c r="FW44" s="867"/>
      <c r="FX44" s="867"/>
      <c r="FY44" s="867"/>
      <c r="FZ44" s="867"/>
      <c r="GA44" s="867"/>
      <c r="GB44" s="867"/>
      <c r="GC44" s="867"/>
      <c r="GD44" s="867"/>
      <c r="GE44" s="867"/>
      <c r="GF44" s="867"/>
      <c r="GG44" s="867"/>
      <c r="GH44" s="867"/>
      <c r="GI44" s="867"/>
      <c r="GJ44" s="867"/>
      <c r="GK44" s="867"/>
      <c r="GL44" s="867"/>
      <c r="GM44" s="867"/>
      <c r="GN44" s="867"/>
      <c r="GO44" s="867"/>
      <c r="GP44" s="867"/>
      <c r="GQ44" s="867"/>
      <c r="GR44" s="867"/>
      <c r="GS44" s="867"/>
      <c r="GT44" s="867"/>
      <c r="GU44" s="867"/>
      <c r="GV44" s="867"/>
      <c r="GW44" s="867"/>
      <c r="GX44" s="867"/>
      <c r="GY44" s="867"/>
      <c r="GZ44" s="867"/>
      <c r="HA44" s="867"/>
      <c r="HB44" s="867"/>
      <c r="HC44" s="867"/>
      <c r="HD44" s="867"/>
      <c r="HE44" s="867"/>
      <c r="HF44" s="867"/>
      <c r="HG44" s="867"/>
      <c r="HH44" s="867"/>
      <c r="HI44" s="867"/>
      <c r="HJ44" s="867"/>
      <c r="HK44" s="867"/>
      <c r="HL44" s="867"/>
      <c r="HM44" s="867"/>
      <c r="HN44" s="867"/>
      <c r="HO44" s="867"/>
      <c r="HP44" s="867"/>
    </row>
    <row r="45" spans="1:224" s="488" customFormat="1" ht="38.25" customHeight="1" x14ac:dyDescent="0.2">
      <c r="A45" s="98">
        <v>692</v>
      </c>
      <c r="B45" s="864">
        <v>29</v>
      </c>
      <c r="C45" s="98"/>
      <c r="D45" s="98" t="str">
        <f t="shared" si="0"/>
        <v>Ông</v>
      </c>
      <c r="E45" s="162" t="s">
        <v>156</v>
      </c>
      <c r="F45" s="98" t="s">
        <v>63</v>
      </c>
      <c r="G45" s="437" t="s">
        <v>52</v>
      </c>
      <c r="H45" s="438" t="s">
        <v>53</v>
      </c>
      <c r="I45" s="439" t="s">
        <v>43</v>
      </c>
      <c r="J45" s="438" t="s">
        <v>53</v>
      </c>
      <c r="K45" s="440" t="s">
        <v>157</v>
      </c>
      <c r="L45" s="441" t="s">
        <v>83</v>
      </c>
      <c r="M45" s="442" t="str">
        <f t="shared" si="1"/>
        <v>VC</v>
      </c>
      <c r="N45" s="443"/>
      <c r="O45" s="444" t="str">
        <f t="shared" si="2"/>
        <v>CVụ</v>
      </c>
      <c r="P45" s="445" t="s">
        <v>158</v>
      </c>
      <c r="Q45" s="446">
        <f>VLOOKUP(P45,'[1]- DLiêu Gốc (Không sửa)'!$C$2:$H$116,2,0)</f>
        <v>1.1000000000000001</v>
      </c>
      <c r="R45" s="584" t="s">
        <v>159</v>
      </c>
      <c r="S45" s="448" t="s">
        <v>154</v>
      </c>
      <c r="T45" s="449" t="str">
        <f>VLOOKUP(Y45,'[2]- DLiêu Gốc -'!$C$2:$H$60,5,0)</f>
        <v>A3</v>
      </c>
      <c r="U45" s="450" t="str">
        <f>VLOOKUP(Y45,'[2]- DLiêu Gốc -'!$C$2:$H$60,6,0)</f>
        <v>A3.1</v>
      </c>
      <c r="V45" s="727" t="s">
        <v>73</v>
      </c>
      <c r="W45" s="728" t="str">
        <f t="shared" si="3"/>
        <v>Giảng viên cao cấp (hạng I)</v>
      </c>
      <c r="X45" s="729" t="str">
        <f t="shared" si="4"/>
        <v>V.07.01.01</v>
      </c>
      <c r="Y45" s="451" t="s">
        <v>76</v>
      </c>
      <c r="Z45" s="451" t="str">
        <f>VLOOKUP(Y45,'[2]- DLiêu Gốc -'!$C$1:$H$132,2,0)</f>
        <v>V.07.01.01</v>
      </c>
      <c r="AA45" s="268" t="str">
        <f t="shared" si="5"/>
        <v>Lương</v>
      </c>
      <c r="AB45" s="452">
        <v>6</v>
      </c>
      <c r="AC45" s="453" t="str">
        <f t="shared" si="6"/>
        <v>/</v>
      </c>
      <c r="AD45" s="454">
        <f t="shared" si="7"/>
        <v>6</v>
      </c>
      <c r="AE45" s="455">
        <f t="shared" si="8"/>
        <v>8</v>
      </c>
      <c r="AF45" s="456"/>
      <c r="AG45" s="456"/>
      <c r="AH45" s="457" t="s">
        <v>43</v>
      </c>
      <c r="AI45" s="458"/>
      <c r="AJ45" s="459" t="s">
        <v>61</v>
      </c>
      <c r="AK45" s="458"/>
      <c r="AL45" s="460">
        <v>2017</v>
      </c>
      <c r="AM45" s="461"/>
      <c r="AN45" s="462"/>
      <c r="AO45" s="463">
        <v>12</v>
      </c>
      <c r="AP45" s="464" t="str">
        <f t="shared" si="10"/>
        <v>%</v>
      </c>
      <c r="AQ45" s="465"/>
      <c r="AR45" s="265">
        <f>IF(AND(AD45=AB45,AO45=0),5,IF(AND(AD45=AB45,AO45&gt;4),AO45+1,IF(AD45&gt;AB45,AD45)))</f>
        <v>13</v>
      </c>
      <c r="AS45" s="466" t="str">
        <f>IF(AD45=AB45,"%",IF(AD45&gt;AB45,AE45+BD45))</f>
        <v>%</v>
      </c>
      <c r="AT45" s="467" t="s">
        <v>43</v>
      </c>
      <c r="AU45" s="468" t="s">
        <v>53</v>
      </c>
      <c r="AV45" s="469" t="s">
        <v>61</v>
      </c>
      <c r="AW45" s="468" t="s">
        <v>53</v>
      </c>
      <c r="AX45" s="470">
        <v>2018</v>
      </c>
      <c r="AY45" s="471"/>
      <c r="AZ45" s="472">
        <v>4</v>
      </c>
      <c r="BA45" s="266">
        <f t="shared" si="13"/>
        <v>1</v>
      </c>
      <c r="BB45" s="473">
        <f t="shared" si="14"/>
        <v>-24220</v>
      </c>
      <c r="BC45" s="267">
        <f>VLOOKUP(Y45,'[2]- DLiêu Gốc -'!$C$1:$F$60,3,0)</f>
        <v>6.2</v>
      </c>
      <c r="BD45" s="267">
        <f>VLOOKUP(Y45,'[2]- DLiêu Gốc -'!$C$1:$F$60,4,0)</f>
        <v>0.36</v>
      </c>
      <c r="BE45" s="474" t="str">
        <f t="shared" si="15"/>
        <v>PCTN</v>
      </c>
      <c r="BF45" s="475">
        <v>30</v>
      </c>
      <c r="BG45" s="476" t="s">
        <v>41</v>
      </c>
      <c r="BH45" s="477" t="s">
        <v>43</v>
      </c>
      <c r="BI45" s="478" t="s">
        <v>53</v>
      </c>
      <c r="BJ45" s="730" t="s">
        <v>45</v>
      </c>
      <c r="BK45" s="479" t="s">
        <v>53</v>
      </c>
      <c r="BL45" s="480">
        <v>2017</v>
      </c>
      <c r="BM45" s="481"/>
      <c r="BN45" s="482"/>
      <c r="BO45" s="483">
        <f t="shared" si="16"/>
        <v>31</v>
      </c>
      <c r="BP45" s="484" t="s">
        <v>41</v>
      </c>
      <c r="BQ45" s="485" t="s">
        <v>43</v>
      </c>
      <c r="BR45" s="468" t="s">
        <v>53</v>
      </c>
      <c r="BS45" s="486" t="s">
        <v>45</v>
      </c>
      <c r="BT45" s="487" t="s">
        <v>53</v>
      </c>
      <c r="BU45" s="51">
        <v>2018</v>
      </c>
      <c r="BV45" s="731"/>
      <c r="BW45" s="865">
        <v>5</v>
      </c>
      <c r="BX45" s="840">
        <f t="shared" si="17"/>
        <v>-24221</v>
      </c>
      <c r="BY45" s="474" t="str">
        <f t="shared" si="18"/>
        <v>- - -</v>
      </c>
      <c r="BZ45" s="732" t="str">
        <f t="shared" si="19"/>
        <v>Chánh Văn phòng Học viện, Trưởng Ban Tổ chức - Cán bộ, Trưởng Phân viện Học viện Hành chính Quốc gia tại Thành phố Hồ Chí Minh</v>
      </c>
      <c r="CA45" s="3" t="str">
        <f t="shared" si="20"/>
        <v>A</v>
      </c>
      <c r="CB45" s="733" t="str">
        <f t="shared" si="21"/>
        <v>=&gt; s</v>
      </c>
      <c r="CC45" s="268" t="str">
        <f t="shared" si="22"/>
        <v>---</v>
      </c>
      <c r="CD45" s="98" t="str">
        <f t="shared" si="23"/>
        <v>---</v>
      </c>
      <c r="CE45" s="98"/>
      <c r="CF45" s="866"/>
      <c r="CG45" s="98"/>
      <c r="CH45" s="734"/>
      <c r="CI45" s="98" t="str">
        <f t="shared" si="24"/>
        <v>- - -</v>
      </c>
      <c r="CJ45" s="269" t="str">
        <f t="shared" si="25"/>
        <v>- - -</v>
      </c>
      <c r="CK45" s="735"/>
      <c r="CL45" s="736"/>
      <c r="CM45" s="735"/>
      <c r="CN45" s="737"/>
      <c r="CO45" s="269" t="str">
        <f t="shared" si="26"/>
        <v>CN</v>
      </c>
      <c r="CP45" s="735">
        <v>10</v>
      </c>
      <c r="CQ45" s="736">
        <v>2014</v>
      </c>
      <c r="CR45" s="735"/>
      <c r="CS45" s="737"/>
      <c r="CT45" s="738" t="str">
        <f t="shared" si="27"/>
        <v>---</v>
      </c>
      <c r="CU45" s="739" t="str">
        <f t="shared" si="28"/>
        <v>/-/ /-/</v>
      </c>
      <c r="CV45" s="740">
        <f t="shared" si="29"/>
        <v>2</v>
      </c>
      <c r="CW45" s="741">
        <f t="shared" si="30"/>
        <v>2020</v>
      </c>
      <c r="CX45" s="740">
        <f t="shared" si="31"/>
        <v>11</v>
      </c>
      <c r="CY45" s="741">
        <f t="shared" si="32"/>
        <v>2019</v>
      </c>
      <c r="CZ45" s="740">
        <f t="shared" si="33"/>
        <v>8</v>
      </c>
      <c r="DA45" s="741">
        <f t="shared" si="34"/>
        <v>2019</v>
      </c>
      <c r="DB45" s="742" t="str">
        <f t="shared" si="35"/>
        <v>- - -</v>
      </c>
      <c r="DC45" s="743" t="str">
        <f t="shared" si="36"/>
        <v>K.Dài</v>
      </c>
      <c r="DD45" s="743">
        <v>5</v>
      </c>
      <c r="DE45" s="268">
        <f t="shared" si="37"/>
        <v>780</v>
      </c>
      <c r="DF45" s="268">
        <f t="shared" si="38"/>
        <v>-23449</v>
      </c>
      <c r="DG45" s="268">
        <f t="shared" si="39"/>
        <v>-1955</v>
      </c>
      <c r="DH45" s="268" t="str">
        <f t="shared" si="40"/>
        <v>Nam dưới 35</v>
      </c>
      <c r="DI45" s="268" t="s">
        <v>69</v>
      </c>
      <c r="DJ45" s="268" t="e">
        <f>COUNTIF(#REF!,"Nam dưới 35")</f>
        <v>#REF!</v>
      </c>
      <c r="DK45" s="474" t="str">
        <f t="shared" si="41"/>
        <v>Đến 30</v>
      </c>
      <c r="DL45" s="735" t="str">
        <f t="shared" si="42"/>
        <v>--</v>
      </c>
      <c r="DM45" s="744"/>
      <c r="DN45" s="98"/>
      <c r="DO45" s="745"/>
      <c r="DP45" s="744"/>
      <c r="DQ45" s="737"/>
      <c r="DR45" s="746"/>
      <c r="DS45" s="279"/>
      <c r="DT45" s="270"/>
      <c r="DU45" s="51"/>
      <c r="DV45" s="447" t="s">
        <v>159</v>
      </c>
      <c r="DW45" s="467" t="s">
        <v>225</v>
      </c>
      <c r="DX45" s="469"/>
      <c r="DY45" s="469" t="s">
        <v>43</v>
      </c>
      <c r="DZ45" s="469" t="s">
        <v>53</v>
      </c>
      <c r="EA45" s="747" t="s">
        <v>61</v>
      </c>
      <c r="EB45" s="469" t="s">
        <v>53</v>
      </c>
      <c r="EC45" s="748">
        <v>2013</v>
      </c>
      <c r="ED45" s="467">
        <f t="shared" si="43"/>
        <v>0</v>
      </c>
      <c r="EE45" s="469" t="str">
        <f t="shared" si="44"/>
        <v>- - -</v>
      </c>
      <c r="EF45" s="469" t="s">
        <v>43</v>
      </c>
      <c r="EG45" s="469" t="s">
        <v>53</v>
      </c>
      <c r="EH45" s="747" t="s">
        <v>61</v>
      </c>
      <c r="EI45" s="98" t="s">
        <v>53</v>
      </c>
      <c r="EJ45" s="269">
        <v>2013</v>
      </c>
      <c r="EK45" s="271"/>
      <c r="EL45" s="51" t="str">
        <f t="shared" si="45"/>
        <v>- - -</v>
      </c>
      <c r="EM45" s="749" t="str">
        <f t="shared" si="46"/>
        <v>---</v>
      </c>
      <c r="EN45" s="749"/>
      <c r="EO45" s="749"/>
      <c r="EP45" s="749"/>
      <c r="EQ45" s="749"/>
      <c r="ER45" s="749"/>
      <c r="ES45" s="749"/>
      <c r="ET45" s="749"/>
      <c r="EU45" s="749"/>
      <c r="EV45" s="749"/>
      <c r="EW45" s="749"/>
      <c r="EX45" s="749"/>
      <c r="EY45" s="749"/>
      <c r="EZ45" s="749"/>
      <c r="FA45" s="749"/>
      <c r="FB45" s="749"/>
      <c r="FC45" s="749"/>
      <c r="FD45" s="749"/>
      <c r="FE45" s="749"/>
      <c r="FF45" s="749"/>
      <c r="FG45" s="749"/>
      <c r="FH45" s="749"/>
      <c r="FI45" s="749"/>
      <c r="FJ45" s="749"/>
      <c r="FK45" s="750"/>
      <c r="FL45" s="750"/>
      <c r="FM45" s="750"/>
      <c r="FN45" s="750"/>
      <c r="FO45" s="750"/>
      <c r="FP45" s="867"/>
      <c r="FQ45" s="867"/>
      <c r="FR45" s="867"/>
      <c r="FS45" s="867"/>
      <c r="FT45" s="867"/>
      <c r="FU45" s="867"/>
      <c r="FV45" s="867"/>
      <c r="FW45" s="867"/>
      <c r="FX45" s="867"/>
      <c r="FY45" s="867"/>
      <c r="FZ45" s="867"/>
      <c r="GA45" s="867"/>
      <c r="GB45" s="867"/>
      <c r="GC45" s="867"/>
      <c r="GD45" s="867"/>
      <c r="GE45" s="867"/>
      <c r="GF45" s="867"/>
      <c r="GG45" s="867"/>
      <c r="GH45" s="867"/>
      <c r="GI45" s="867"/>
      <c r="GJ45" s="867"/>
      <c r="GK45" s="867"/>
      <c r="GL45" s="867"/>
      <c r="GM45" s="867"/>
      <c r="GN45" s="867"/>
      <c r="GO45" s="867"/>
      <c r="GP45" s="867"/>
      <c r="GQ45" s="867"/>
      <c r="GR45" s="867"/>
      <c r="GS45" s="867"/>
      <c r="GT45" s="867"/>
      <c r="GU45" s="867"/>
      <c r="GV45" s="867"/>
      <c r="GW45" s="867"/>
      <c r="GX45" s="867"/>
      <c r="GY45" s="867"/>
      <c r="GZ45" s="867"/>
      <c r="HA45" s="867"/>
      <c r="HB45" s="867"/>
      <c r="HC45" s="867"/>
      <c r="HD45" s="867"/>
      <c r="HE45" s="867"/>
      <c r="HF45" s="867"/>
      <c r="HG45" s="867"/>
      <c r="HH45" s="867"/>
      <c r="HI45" s="867"/>
      <c r="HJ45" s="867"/>
      <c r="HK45" s="867"/>
      <c r="HL45" s="867"/>
      <c r="HM45" s="867"/>
      <c r="HN45" s="867"/>
      <c r="HO45" s="867"/>
      <c r="HP45" s="867"/>
    </row>
    <row r="46" spans="1:224" s="488" customFormat="1" ht="38.25" customHeight="1" x14ac:dyDescent="0.2">
      <c r="A46" s="98">
        <v>700</v>
      </c>
      <c r="B46" s="864">
        <v>30</v>
      </c>
      <c r="C46" s="98"/>
      <c r="D46" s="98" t="str">
        <f t="shared" si="0"/>
        <v>Bà</v>
      </c>
      <c r="E46" s="162" t="s">
        <v>293</v>
      </c>
      <c r="F46" s="98" t="s">
        <v>64</v>
      </c>
      <c r="G46" s="437" t="s">
        <v>51</v>
      </c>
      <c r="H46" s="438" t="s">
        <v>53</v>
      </c>
      <c r="I46" s="439">
        <v>9</v>
      </c>
      <c r="J46" s="438" t="s">
        <v>53</v>
      </c>
      <c r="K46" s="440">
        <v>1969</v>
      </c>
      <c r="L46" s="441" t="s">
        <v>83</v>
      </c>
      <c r="M46" s="442" t="str">
        <f t="shared" si="1"/>
        <v>VC</v>
      </c>
      <c r="N46" s="443"/>
      <c r="O46" s="444" t="e">
        <f t="shared" si="2"/>
        <v>#N/A</v>
      </c>
      <c r="P46" s="445"/>
      <c r="Q46" s="446" t="e">
        <f>VLOOKUP(P46,'[1]- DLiêu Gốc (Không sửa)'!$C$2:$H$116,2,0)</f>
        <v>#N/A</v>
      </c>
      <c r="R46" s="584" t="s">
        <v>168</v>
      </c>
      <c r="S46" s="448" t="s">
        <v>154</v>
      </c>
      <c r="T46" s="449" t="str">
        <f>VLOOKUP(Y46,'[2]- DLiêu Gốc -'!$C$2:$H$60,5,0)</f>
        <v>A1</v>
      </c>
      <c r="U46" s="450" t="str">
        <f>VLOOKUP(Y46,'[2]- DLiêu Gốc -'!$C$2:$H$60,6,0)</f>
        <v>- - -</v>
      </c>
      <c r="V46" s="727" t="s">
        <v>73</v>
      </c>
      <c r="W46" s="728" t="str">
        <f t="shared" si="3"/>
        <v>Giảng viên (hạng III)</v>
      </c>
      <c r="X46" s="729" t="str">
        <f t="shared" si="4"/>
        <v>V.07.01.03</v>
      </c>
      <c r="Y46" s="451" t="s">
        <v>77</v>
      </c>
      <c r="Z46" s="451" t="str">
        <f>VLOOKUP(Y46,'[2]- DLiêu Gốc -'!$C$1:$H$132,2,0)</f>
        <v>V.07.01.03</v>
      </c>
      <c r="AA46" s="268" t="str">
        <f t="shared" si="5"/>
        <v>Lương</v>
      </c>
      <c r="AB46" s="452">
        <v>6</v>
      </c>
      <c r="AC46" s="453" t="str">
        <f t="shared" si="6"/>
        <v>/</v>
      </c>
      <c r="AD46" s="454">
        <f t="shared" si="7"/>
        <v>9</v>
      </c>
      <c r="AE46" s="455">
        <f t="shared" si="8"/>
        <v>3.99</v>
      </c>
      <c r="AF46" s="456"/>
      <c r="AG46" s="456"/>
      <c r="AH46" s="457"/>
      <c r="AI46" s="458"/>
      <c r="AJ46" s="459"/>
      <c r="AK46" s="458"/>
      <c r="AL46" s="460"/>
      <c r="AM46" s="461"/>
      <c r="AN46" s="462"/>
      <c r="AO46" s="463">
        <f>AB46+1</f>
        <v>7</v>
      </c>
      <c r="AP46" s="464" t="str">
        <f t="shared" si="10"/>
        <v>/</v>
      </c>
      <c r="AQ46" s="465">
        <f>IF(AND(AD46=AB46,AO46=4),5,IF(AND(AD46=AB46,AO46&gt;4),AO46+1,IF(AD46&gt;AB46,AD46)))</f>
        <v>9</v>
      </c>
      <c r="AR46" s="265">
        <f>IF(AD46=AB46,"%",IF(AD46&gt;AB46,AE46+BD46))</f>
        <v>4.32</v>
      </c>
      <c r="AS46" s="466"/>
      <c r="AT46" s="467" t="s">
        <v>43</v>
      </c>
      <c r="AU46" s="468" t="s">
        <v>53</v>
      </c>
      <c r="AV46" s="469" t="s">
        <v>44</v>
      </c>
      <c r="AW46" s="468" t="s">
        <v>53</v>
      </c>
      <c r="AX46" s="470">
        <v>2017</v>
      </c>
      <c r="AY46" s="471"/>
      <c r="AZ46" s="472"/>
      <c r="BA46" s="266">
        <f t="shared" si="13"/>
        <v>3</v>
      </c>
      <c r="BB46" s="473">
        <f t="shared" si="14"/>
        <v>-24206</v>
      </c>
      <c r="BC46" s="267">
        <f>VLOOKUP(Y46,'[2]- DLiêu Gốc -'!$C$1:$F$60,3,0)</f>
        <v>2.34</v>
      </c>
      <c r="BD46" s="267">
        <f>VLOOKUP(Y46,'[2]- DLiêu Gốc -'!$C$1:$F$60,4,0)</f>
        <v>0.33</v>
      </c>
      <c r="BE46" s="474" t="str">
        <f t="shared" si="15"/>
        <v>PCTN</v>
      </c>
      <c r="BF46" s="475">
        <v>14</v>
      </c>
      <c r="BG46" s="476" t="s">
        <v>41</v>
      </c>
      <c r="BH46" s="477" t="s">
        <v>43</v>
      </c>
      <c r="BI46" s="478" t="s">
        <v>53</v>
      </c>
      <c r="BJ46" s="730">
        <v>5</v>
      </c>
      <c r="BK46" s="479" t="s">
        <v>53</v>
      </c>
      <c r="BL46" s="480">
        <v>2017</v>
      </c>
      <c r="BM46" s="481"/>
      <c r="BN46" s="482"/>
      <c r="BO46" s="483">
        <f t="shared" si="16"/>
        <v>15</v>
      </c>
      <c r="BP46" s="484" t="s">
        <v>41</v>
      </c>
      <c r="BQ46" s="485" t="s">
        <v>43</v>
      </c>
      <c r="BR46" s="468" t="s">
        <v>53</v>
      </c>
      <c r="BS46" s="486">
        <v>5</v>
      </c>
      <c r="BT46" s="487" t="s">
        <v>53</v>
      </c>
      <c r="BU46" s="51">
        <v>2018</v>
      </c>
      <c r="BV46" s="731"/>
      <c r="BW46" s="865">
        <v>5</v>
      </c>
      <c r="BX46" s="840">
        <f t="shared" si="17"/>
        <v>-24221</v>
      </c>
      <c r="BY46" s="474" t="str">
        <f t="shared" si="18"/>
        <v>- - -</v>
      </c>
      <c r="BZ46" s="732" t="str">
        <f t="shared" si="19"/>
        <v>Chánh Văn phòng Học viện, Trưởng Ban Tổ chức - Cán bộ, Trưởng Phân viện Học viện Hành chính Quốc gia tại Thành phố Hồ Chí Minh</v>
      </c>
      <c r="CA46" s="3" t="str">
        <f t="shared" si="20"/>
        <v>A</v>
      </c>
      <c r="CB46" s="733" t="str">
        <f t="shared" si="21"/>
        <v>=&gt; s</v>
      </c>
      <c r="CC46" s="268">
        <f t="shared" si="22"/>
        <v>24230</v>
      </c>
      <c r="CD46" s="98" t="str">
        <f t="shared" si="23"/>
        <v>---</v>
      </c>
      <c r="CE46" s="98"/>
      <c r="CF46" s="866"/>
      <c r="CG46" s="98"/>
      <c r="CH46" s="734"/>
      <c r="CI46" s="98" t="str">
        <f t="shared" si="24"/>
        <v>- - -</v>
      </c>
      <c r="CJ46" s="269" t="str">
        <f t="shared" si="25"/>
        <v>- - -</v>
      </c>
      <c r="CK46" s="735"/>
      <c r="CL46" s="736"/>
      <c r="CM46" s="735"/>
      <c r="CN46" s="737"/>
      <c r="CO46" s="269" t="str">
        <f t="shared" si="26"/>
        <v>- - -</v>
      </c>
      <c r="CP46" s="735"/>
      <c r="CQ46" s="736"/>
      <c r="CR46" s="735"/>
      <c r="CS46" s="737"/>
      <c r="CT46" s="738" t="str">
        <f t="shared" si="27"/>
        <v>---</v>
      </c>
      <c r="CU46" s="739" t="str">
        <f t="shared" si="28"/>
        <v>/-/ /-/</v>
      </c>
      <c r="CV46" s="740">
        <f t="shared" si="29"/>
        <v>10</v>
      </c>
      <c r="CW46" s="741">
        <f t="shared" si="30"/>
        <v>2024</v>
      </c>
      <c r="CX46" s="740">
        <f t="shared" si="31"/>
        <v>7</v>
      </c>
      <c r="CY46" s="741">
        <f t="shared" si="32"/>
        <v>2024</v>
      </c>
      <c r="CZ46" s="740">
        <f t="shared" si="33"/>
        <v>4</v>
      </c>
      <c r="DA46" s="741">
        <f t="shared" si="34"/>
        <v>2024</v>
      </c>
      <c r="DB46" s="742" t="str">
        <f t="shared" si="35"/>
        <v>- - -</v>
      </c>
      <c r="DC46" s="743" t="str">
        <f t="shared" si="36"/>
        <v>. .</v>
      </c>
      <c r="DD46" s="743"/>
      <c r="DE46" s="268">
        <f t="shared" si="37"/>
        <v>660</v>
      </c>
      <c r="DF46" s="268">
        <f t="shared" si="38"/>
        <v>-23625</v>
      </c>
      <c r="DG46" s="268">
        <f t="shared" si="39"/>
        <v>-1969</v>
      </c>
      <c r="DH46" s="268" t="str">
        <f t="shared" si="40"/>
        <v>Nữ dưới 30</v>
      </c>
      <c r="DI46" s="268"/>
      <c r="DJ46" s="268"/>
      <c r="DK46" s="474" t="str">
        <f t="shared" si="41"/>
        <v>Đến 30</v>
      </c>
      <c r="DL46" s="735" t="str">
        <f t="shared" si="42"/>
        <v>TD</v>
      </c>
      <c r="DM46" s="744">
        <v>2009</v>
      </c>
      <c r="DN46" s="98"/>
      <c r="DO46" s="745"/>
      <c r="DP46" s="744"/>
      <c r="DQ46" s="737"/>
      <c r="DR46" s="746"/>
      <c r="DS46" s="279"/>
      <c r="DT46" s="270"/>
      <c r="DU46" s="51"/>
      <c r="DV46" s="447" t="s">
        <v>168</v>
      </c>
      <c r="DW46" s="467" t="s">
        <v>225</v>
      </c>
      <c r="DX46" s="469" t="s">
        <v>168</v>
      </c>
      <c r="DY46" s="469" t="s">
        <v>43</v>
      </c>
      <c r="DZ46" s="469" t="s">
        <v>53</v>
      </c>
      <c r="EA46" s="747" t="s">
        <v>44</v>
      </c>
      <c r="EB46" s="469" t="s">
        <v>53</v>
      </c>
      <c r="EC46" s="748" t="s">
        <v>55</v>
      </c>
      <c r="ED46" s="467">
        <f t="shared" si="43"/>
        <v>0</v>
      </c>
      <c r="EE46" s="469" t="str">
        <f t="shared" si="44"/>
        <v>- - -</v>
      </c>
      <c r="EF46" s="469" t="s">
        <v>43</v>
      </c>
      <c r="EG46" s="469" t="s">
        <v>53</v>
      </c>
      <c r="EH46" s="747" t="s">
        <v>44</v>
      </c>
      <c r="EI46" s="98" t="s">
        <v>53</v>
      </c>
      <c r="EJ46" s="269" t="s">
        <v>55</v>
      </c>
      <c r="EK46" s="271"/>
      <c r="EL46" s="51" t="str">
        <f t="shared" si="45"/>
        <v>- - -</v>
      </c>
      <c r="EM46" s="749" t="str">
        <f t="shared" si="46"/>
        <v>---</v>
      </c>
      <c r="EN46" s="749"/>
      <c r="EO46" s="749"/>
      <c r="EP46" s="749"/>
      <c r="EQ46" s="749"/>
      <c r="ER46" s="749"/>
      <c r="ES46" s="749"/>
      <c r="ET46" s="749"/>
      <c r="EU46" s="749"/>
      <c r="EV46" s="749"/>
      <c r="EW46" s="749"/>
      <c r="EX46" s="749"/>
      <c r="EY46" s="749"/>
      <c r="EZ46" s="749"/>
      <c r="FA46" s="749"/>
      <c r="FB46" s="749"/>
      <c r="FC46" s="749"/>
      <c r="FD46" s="749"/>
      <c r="FE46" s="749"/>
      <c r="FF46" s="749"/>
      <c r="FG46" s="749"/>
      <c r="FH46" s="749"/>
      <c r="FI46" s="749"/>
      <c r="FJ46" s="749"/>
      <c r="FK46" s="750"/>
      <c r="FL46" s="750"/>
      <c r="FM46" s="750"/>
      <c r="FN46" s="750"/>
      <c r="FO46" s="750"/>
      <c r="FP46" s="867"/>
      <c r="FQ46" s="867"/>
      <c r="FR46" s="867"/>
      <c r="FS46" s="867"/>
      <c r="FT46" s="867"/>
      <c r="FU46" s="867"/>
      <c r="FV46" s="867"/>
      <c r="FW46" s="867"/>
      <c r="FX46" s="867"/>
      <c r="FY46" s="867"/>
      <c r="FZ46" s="867"/>
      <c r="GA46" s="867"/>
      <c r="GB46" s="867"/>
      <c r="GC46" s="867"/>
      <c r="GD46" s="867"/>
      <c r="GE46" s="867"/>
      <c r="GF46" s="867"/>
      <c r="GG46" s="867"/>
      <c r="GH46" s="867"/>
      <c r="GI46" s="867"/>
      <c r="GJ46" s="867"/>
      <c r="GK46" s="867"/>
      <c r="GL46" s="867"/>
      <c r="GM46" s="867"/>
      <c r="GN46" s="867"/>
      <c r="GO46" s="867"/>
      <c r="GP46" s="867"/>
      <c r="GQ46" s="867"/>
      <c r="GR46" s="867"/>
      <c r="GS46" s="867"/>
      <c r="GT46" s="867"/>
      <c r="GU46" s="867"/>
      <c r="GV46" s="867"/>
      <c r="GW46" s="867"/>
      <c r="GX46" s="867"/>
      <c r="GY46" s="867"/>
      <c r="GZ46" s="867"/>
      <c r="HA46" s="867"/>
      <c r="HB46" s="867"/>
      <c r="HC46" s="867"/>
      <c r="HD46" s="867"/>
      <c r="HE46" s="867"/>
      <c r="HF46" s="867"/>
      <c r="HG46" s="867"/>
      <c r="HH46" s="867"/>
      <c r="HI46" s="867"/>
      <c r="HJ46" s="867"/>
      <c r="HK46" s="867"/>
      <c r="HL46" s="867"/>
      <c r="HM46" s="867"/>
      <c r="HN46" s="867"/>
      <c r="HO46" s="867"/>
      <c r="HP46" s="867"/>
    </row>
    <row r="47" spans="1:224" s="488" customFormat="1" ht="38.25" customHeight="1" x14ac:dyDescent="0.2">
      <c r="A47" s="98">
        <v>702</v>
      </c>
      <c r="B47" s="864">
        <v>31</v>
      </c>
      <c r="C47" s="98"/>
      <c r="D47" s="98" t="str">
        <f t="shared" si="0"/>
        <v>Bà</v>
      </c>
      <c r="E47" s="162" t="s">
        <v>294</v>
      </c>
      <c r="F47" s="98" t="s">
        <v>64</v>
      </c>
      <c r="G47" s="437" t="s">
        <v>247</v>
      </c>
      <c r="H47" s="438" t="s">
        <v>53</v>
      </c>
      <c r="I47" s="439">
        <v>5</v>
      </c>
      <c r="J47" s="438" t="s">
        <v>53</v>
      </c>
      <c r="K47" s="440">
        <v>1977</v>
      </c>
      <c r="L47" s="441" t="s">
        <v>83</v>
      </c>
      <c r="M47" s="442" t="str">
        <f t="shared" si="1"/>
        <v>VC</v>
      </c>
      <c r="N47" s="443"/>
      <c r="O47" s="444" t="str">
        <f t="shared" si="2"/>
        <v>CVụ</v>
      </c>
      <c r="P47" s="445" t="s">
        <v>30</v>
      </c>
      <c r="Q47" s="446" t="str">
        <f>VLOOKUP(P47,'[1]- DLiêu Gốc (Không sửa)'!$C$2:$H$116,2,0)</f>
        <v>0,4</v>
      </c>
      <c r="R47" s="584" t="s">
        <v>168</v>
      </c>
      <c r="S47" s="448" t="s">
        <v>154</v>
      </c>
      <c r="T47" s="449" t="str">
        <f>VLOOKUP(Y47,'[2]- DLiêu Gốc -'!$C$2:$H$60,5,0)</f>
        <v>A1</v>
      </c>
      <c r="U47" s="450" t="str">
        <f>VLOOKUP(Y47,'[2]- DLiêu Gốc -'!$C$2:$H$60,6,0)</f>
        <v>- - -</v>
      </c>
      <c r="V47" s="727" t="s">
        <v>73</v>
      </c>
      <c r="W47" s="728" t="str">
        <f t="shared" si="3"/>
        <v>Giảng viên (hạng III)</v>
      </c>
      <c r="X47" s="729" t="str">
        <f t="shared" si="4"/>
        <v>V.07.01.03</v>
      </c>
      <c r="Y47" s="451" t="s">
        <v>77</v>
      </c>
      <c r="Z47" s="451" t="str">
        <f>VLOOKUP(Y47,'[2]- DLiêu Gốc -'!$C$1:$H$132,2,0)</f>
        <v>V.07.01.03</v>
      </c>
      <c r="AA47" s="268" t="str">
        <f t="shared" si="5"/>
        <v>Lương</v>
      </c>
      <c r="AB47" s="452">
        <v>5</v>
      </c>
      <c r="AC47" s="453" t="str">
        <f t="shared" si="6"/>
        <v>/</v>
      </c>
      <c r="AD47" s="454">
        <f t="shared" si="7"/>
        <v>9</v>
      </c>
      <c r="AE47" s="455">
        <f t="shared" si="8"/>
        <v>3.66</v>
      </c>
      <c r="AF47" s="456"/>
      <c r="AG47" s="456"/>
      <c r="AH47" s="457"/>
      <c r="AI47" s="458"/>
      <c r="AJ47" s="459"/>
      <c r="AK47" s="458"/>
      <c r="AL47" s="460"/>
      <c r="AM47" s="461"/>
      <c r="AN47" s="462"/>
      <c r="AO47" s="463">
        <f>AB47+1</f>
        <v>6</v>
      </c>
      <c r="AP47" s="464" t="str">
        <f t="shared" si="10"/>
        <v>/</v>
      </c>
      <c r="AQ47" s="465">
        <f>IF(AND(AD47=AB47,AO47=4),5,IF(AND(AD47=AB47,AO47&gt;4),AO47+1,IF(AD47&gt;AB47,AD47)))</f>
        <v>9</v>
      </c>
      <c r="AR47" s="265">
        <f>IF(AD47=AB47,"%",IF(AD47&gt;AB47,AE47+BD47))</f>
        <v>3.99</v>
      </c>
      <c r="AS47" s="466"/>
      <c r="AT47" s="467" t="s">
        <v>43</v>
      </c>
      <c r="AU47" s="468" t="s">
        <v>53</v>
      </c>
      <c r="AV47" s="469" t="s">
        <v>51</v>
      </c>
      <c r="AW47" s="468" t="s">
        <v>53</v>
      </c>
      <c r="AX47" s="470">
        <v>2017</v>
      </c>
      <c r="AY47" s="471"/>
      <c r="AZ47" s="472"/>
      <c r="BA47" s="266">
        <f t="shared" si="13"/>
        <v>3</v>
      </c>
      <c r="BB47" s="473">
        <f t="shared" si="14"/>
        <v>-24216</v>
      </c>
      <c r="BC47" s="267">
        <f>VLOOKUP(Y47,'[2]- DLiêu Gốc -'!$C$1:$F$60,3,0)</f>
        <v>2.34</v>
      </c>
      <c r="BD47" s="267">
        <f>VLOOKUP(Y47,'[2]- DLiêu Gốc -'!$C$1:$F$60,4,0)</f>
        <v>0.33</v>
      </c>
      <c r="BE47" s="474" t="str">
        <f t="shared" si="15"/>
        <v>PCTN</v>
      </c>
      <c r="BF47" s="475">
        <v>14</v>
      </c>
      <c r="BG47" s="476" t="s">
        <v>41</v>
      </c>
      <c r="BH47" s="477" t="s">
        <v>43</v>
      </c>
      <c r="BI47" s="478" t="s">
        <v>53</v>
      </c>
      <c r="BJ47" s="730">
        <v>5</v>
      </c>
      <c r="BK47" s="479" t="s">
        <v>53</v>
      </c>
      <c r="BL47" s="480">
        <v>2017</v>
      </c>
      <c r="BM47" s="481"/>
      <c r="BN47" s="482"/>
      <c r="BO47" s="483">
        <f t="shared" si="16"/>
        <v>15</v>
      </c>
      <c r="BP47" s="484" t="s">
        <v>41</v>
      </c>
      <c r="BQ47" s="485" t="s">
        <v>43</v>
      </c>
      <c r="BR47" s="468" t="s">
        <v>53</v>
      </c>
      <c r="BS47" s="486">
        <v>5</v>
      </c>
      <c r="BT47" s="487" t="s">
        <v>53</v>
      </c>
      <c r="BU47" s="51">
        <v>2018</v>
      </c>
      <c r="BV47" s="731"/>
      <c r="BW47" s="865">
        <v>5</v>
      </c>
      <c r="BX47" s="840">
        <f t="shared" si="17"/>
        <v>-24221</v>
      </c>
      <c r="BY47" s="474" t="str">
        <f t="shared" si="18"/>
        <v>- - -</v>
      </c>
      <c r="BZ47" s="732" t="str">
        <f t="shared" si="19"/>
        <v>Chánh Văn phòng Học viện, Trưởng Ban Tổ chức - Cán bộ, Trưởng Phân viện Học viện Hành chính Quốc gia tại Thành phố Hồ Chí Minh</v>
      </c>
      <c r="CA47" s="3" t="str">
        <f t="shared" si="20"/>
        <v>A</v>
      </c>
      <c r="CB47" s="733" t="str">
        <f t="shared" si="21"/>
        <v>=&gt; s</v>
      </c>
      <c r="CC47" s="268">
        <f t="shared" si="22"/>
        <v>24240</v>
      </c>
      <c r="CD47" s="98" t="str">
        <f t="shared" si="23"/>
        <v>---</v>
      </c>
      <c r="CE47" s="98"/>
      <c r="CF47" s="866"/>
      <c r="CG47" s="98"/>
      <c r="CH47" s="734"/>
      <c r="CI47" s="98" t="str">
        <f t="shared" si="24"/>
        <v>- - -</v>
      </c>
      <c r="CJ47" s="269" t="str">
        <f t="shared" si="25"/>
        <v>- - -</v>
      </c>
      <c r="CK47" s="735"/>
      <c r="CL47" s="736"/>
      <c r="CM47" s="735"/>
      <c r="CN47" s="737"/>
      <c r="CO47" s="269" t="str">
        <f t="shared" si="26"/>
        <v>- - -</v>
      </c>
      <c r="CP47" s="735"/>
      <c r="CQ47" s="736"/>
      <c r="CR47" s="735"/>
      <c r="CS47" s="737"/>
      <c r="CT47" s="738" t="str">
        <f t="shared" si="27"/>
        <v>---</v>
      </c>
      <c r="CU47" s="739" t="str">
        <f t="shared" si="28"/>
        <v>/-/ /-/</v>
      </c>
      <c r="CV47" s="740">
        <f t="shared" si="29"/>
        <v>6</v>
      </c>
      <c r="CW47" s="741">
        <f t="shared" si="30"/>
        <v>2032</v>
      </c>
      <c r="CX47" s="740">
        <f t="shared" si="31"/>
        <v>3</v>
      </c>
      <c r="CY47" s="741">
        <f t="shared" si="32"/>
        <v>2032</v>
      </c>
      <c r="CZ47" s="740">
        <f t="shared" si="33"/>
        <v>12</v>
      </c>
      <c r="DA47" s="741">
        <f t="shared" si="34"/>
        <v>2031</v>
      </c>
      <c r="DB47" s="742" t="str">
        <f t="shared" si="35"/>
        <v>- - -</v>
      </c>
      <c r="DC47" s="743" t="str">
        <f t="shared" si="36"/>
        <v>. .</v>
      </c>
      <c r="DD47" s="743"/>
      <c r="DE47" s="268">
        <f t="shared" si="37"/>
        <v>660</v>
      </c>
      <c r="DF47" s="268">
        <f t="shared" si="38"/>
        <v>-23717</v>
      </c>
      <c r="DG47" s="268">
        <f t="shared" si="39"/>
        <v>-1977</v>
      </c>
      <c r="DH47" s="268" t="str">
        <f t="shared" si="40"/>
        <v>Nữ dưới 30</v>
      </c>
      <c r="DI47" s="268"/>
      <c r="DJ47" s="268"/>
      <c r="DK47" s="474" t="str">
        <f t="shared" si="41"/>
        <v>Đến 30</v>
      </c>
      <c r="DL47" s="735" t="str">
        <f t="shared" si="42"/>
        <v>TD</v>
      </c>
      <c r="DM47" s="744">
        <v>2008</v>
      </c>
      <c r="DN47" s="98"/>
      <c r="DO47" s="745"/>
      <c r="DP47" s="744"/>
      <c r="DQ47" s="737"/>
      <c r="DR47" s="746"/>
      <c r="DS47" s="279"/>
      <c r="DT47" s="270"/>
      <c r="DU47" s="51"/>
      <c r="DV47" s="447" t="s">
        <v>168</v>
      </c>
      <c r="DW47" s="467" t="s">
        <v>225</v>
      </c>
      <c r="DX47" s="469" t="s">
        <v>153</v>
      </c>
      <c r="DY47" s="469" t="s">
        <v>43</v>
      </c>
      <c r="DZ47" s="469" t="s">
        <v>53</v>
      </c>
      <c r="EA47" s="747" t="s">
        <v>51</v>
      </c>
      <c r="EB47" s="469" t="s">
        <v>53</v>
      </c>
      <c r="EC47" s="748" t="s">
        <v>55</v>
      </c>
      <c r="ED47" s="467">
        <f t="shared" si="43"/>
        <v>0</v>
      </c>
      <c r="EE47" s="469" t="str">
        <f t="shared" si="44"/>
        <v>- - -</v>
      </c>
      <c r="EF47" s="469" t="s">
        <v>43</v>
      </c>
      <c r="EG47" s="469" t="s">
        <v>53</v>
      </c>
      <c r="EH47" s="747" t="s">
        <v>51</v>
      </c>
      <c r="EI47" s="98" t="s">
        <v>53</v>
      </c>
      <c r="EJ47" s="269" t="s">
        <v>55</v>
      </c>
      <c r="EK47" s="271"/>
      <c r="EL47" s="51" t="str">
        <f t="shared" si="45"/>
        <v>- - -</v>
      </c>
      <c r="EM47" s="749" t="str">
        <f t="shared" si="46"/>
        <v>---</v>
      </c>
      <c r="EN47" s="749"/>
      <c r="EO47" s="749"/>
      <c r="EP47" s="749"/>
      <c r="EQ47" s="749"/>
      <c r="ER47" s="749"/>
      <c r="ES47" s="749"/>
      <c r="ET47" s="749"/>
      <c r="EU47" s="749"/>
      <c r="EV47" s="749"/>
      <c r="EW47" s="749"/>
      <c r="EX47" s="749"/>
      <c r="EY47" s="749"/>
      <c r="EZ47" s="749"/>
      <c r="FA47" s="749"/>
      <c r="FB47" s="749"/>
      <c r="FC47" s="749"/>
      <c r="FD47" s="749"/>
      <c r="FE47" s="749"/>
      <c r="FF47" s="749"/>
      <c r="FG47" s="749"/>
      <c r="FH47" s="749"/>
      <c r="FI47" s="749"/>
      <c r="FJ47" s="749"/>
      <c r="FK47" s="750"/>
      <c r="FL47" s="750"/>
      <c r="FM47" s="750"/>
      <c r="FN47" s="750"/>
      <c r="FO47" s="750"/>
      <c r="FP47" s="867"/>
      <c r="FQ47" s="867"/>
      <c r="FR47" s="867"/>
      <c r="FS47" s="867"/>
      <c r="FT47" s="867"/>
      <c r="FU47" s="867"/>
      <c r="FV47" s="867"/>
      <c r="FW47" s="867"/>
      <c r="FX47" s="867"/>
      <c r="FY47" s="867"/>
      <c r="FZ47" s="867"/>
      <c r="GA47" s="867"/>
      <c r="GB47" s="867"/>
      <c r="GC47" s="867"/>
      <c r="GD47" s="867"/>
      <c r="GE47" s="867"/>
      <c r="GF47" s="867"/>
      <c r="GG47" s="867"/>
      <c r="GH47" s="867"/>
      <c r="GI47" s="867"/>
      <c r="GJ47" s="867"/>
      <c r="GK47" s="867"/>
      <c r="GL47" s="867"/>
      <c r="GM47" s="867"/>
      <c r="GN47" s="867"/>
      <c r="GO47" s="867"/>
      <c r="GP47" s="867"/>
      <c r="GQ47" s="867"/>
      <c r="GR47" s="867"/>
      <c r="GS47" s="867"/>
      <c r="GT47" s="867"/>
      <c r="GU47" s="867"/>
      <c r="GV47" s="867"/>
      <c r="GW47" s="867"/>
      <c r="GX47" s="867"/>
      <c r="GY47" s="867"/>
      <c r="GZ47" s="867"/>
      <c r="HA47" s="867"/>
      <c r="HB47" s="867"/>
      <c r="HC47" s="867"/>
      <c r="HD47" s="867"/>
      <c r="HE47" s="867"/>
      <c r="HF47" s="867"/>
      <c r="HG47" s="867"/>
      <c r="HH47" s="867"/>
      <c r="HI47" s="867"/>
      <c r="HJ47" s="867"/>
      <c r="HK47" s="867"/>
      <c r="HL47" s="867"/>
      <c r="HM47" s="867"/>
      <c r="HN47" s="867"/>
      <c r="HO47" s="867"/>
      <c r="HP47" s="867"/>
    </row>
    <row r="48" spans="1:224" s="488" customFormat="1" ht="38.25" customHeight="1" x14ac:dyDescent="0.2">
      <c r="A48" s="98">
        <v>710</v>
      </c>
      <c r="B48" s="864">
        <v>32</v>
      </c>
      <c r="C48" s="98"/>
      <c r="D48" s="98" t="str">
        <f t="shared" si="0"/>
        <v>Ông</v>
      </c>
      <c r="E48" s="162" t="s">
        <v>295</v>
      </c>
      <c r="F48" s="98" t="s">
        <v>63</v>
      </c>
      <c r="G48" s="437" t="s">
        <v>214</v>
      </c>
      <c r="H48" s="438" t="s">
        <v>53</v>
      </c>
      <c r="I48" s="439">
        <v>8</v>
      </c>
      <c r="J48" s="438" t="s">
        <v>53</v>
      </c>
      <c r="K48" s="440">
        <v>1978</v>
      </c>
      <c r="L48" s="441" t="s">
        <v>83</v>
      </c>
      <c r="M48" s="442" t="str">
        <f t="shared" si="1"/>
        <v>VC</v>
      </c>
      <c r="N48" s="443"/>
      <c r="O48" s="444" t="str">
        <f t="shared" si="2"/>
        <v>CVụ</v>
      </c>
      <c r="P48" s="445" t="s">
        <v>160</v>
      </c>
      <c r="Q48" s="446" t="str">
        <f>VLOOKUP(P48,'[1]- DLiêu Gốc (Không sửa)'!$C$2:$H$116,2,0)</f>
        <v>0,6</v>
      </c>
      <c r="R48" s="584" t="s">
        <v>296</v>
      </c>
      <c r="S48" s="448" t="s">
        <v>154</v>
      </c>
      <c r="T48" s="449" t="str">
        <f>VLOOKUP(Y48,'[2]- DLiêu Gốc -'!$C$2:$H$60,5,0)</f>
        <v>A1</v>
      </c>
      <c r="U48" s="450" t="str">
        <f>VLOOKUP(Y48,'[2]- DLiêu Gốc -'!$C$2:$H$60,6,0)</f>
        <v>- - -</v>
      </c>
      <c r="V48" s="727" t="s">
        <v>73</v>
      </c>
      <c r="W48" s="728" t="str">
        <f t="shared" si="3"/>
        <v>Giảng viên (hạng III)</v>
      </c>
      <c r="X48" s="729" t="str">
        <f t="shared" si="4"/>
        <v>V.07.01.03</v>
      </c>
      <c r="Y48" s="451" t="s">
        <v>77</v>
      </c>
      <c r="Z48" s="451" t="str">
        <f>VLOOKUP(Y48,'[2]- DLiêu Gốc -'!$C$1:$H$132,2,0)</f>
        <v>V.07.01.03</v>
      </c>
      <c r="AA48" s="268" t="str">
        <f t="shared" si="5"/>
        <v>Lương</v>
      </c>
      <c r="AB48" s="452">
        <v>5</v>
      </c>
      <c r="AC48" s="453" t="str">
        <f t="shared" si="6"/>
        <v>/</v>
      </c>
      <c r="AD48" s="454">
        <f t="shared" si="7"/>
        <v>9</v>
      </c>
      <c r="AE48" s="455">
        <f t="shared" si="8"/>
        <v>3.66</v>
      </c>
      <c r="AF48" s="456"/>
      <c r="AG48" s="456"/>
      <c r="AH48" s="457"/>
      <c r="AI48" s="458"/>
      <c r="AJ48" s="459"/>
      <c r="AK48" s="458"/>
      <c r="AL48" s="460"/>
      <c r="AM48" s="461"/>
      <c r="AN48" s="462"/>
      <c r="AO48" s="463">
        <f>AB48+1</f>
        <v>6</v>
      </c>
      <c r="AP48" s="464" t="str">
        <f t="shared" si="10"/>
        <v>/</v>
      </c>
      <c r="AQ48" s="465">
        <f>IF(AND(AD48=AB48,AO48=4),5,IF(AND(AD48=AB48,AO48&gt;4),AO48+1,IF(AD48&gt;AB48,AD48)))</f>
        <v>9</v>
      </c>
      <c r="AR48" s="265">
        <f>IF(AD48=AB48,"%",IF(AD48&gt;AB48,AE48+BD48))</f>
        <v>3.99</v>
      </c>
      <c r="AS48" s="466"/>
      <c r="AT48" s="467" t="s">
        <v>43</v>
      </c>
      <c r="AU48" s="468" t="s">
        <v>53</v>
      </c>
      <c r="AV48" s="469" t="s">
        <v>49</v>
      </c>
      <c r="AW48" s="468" t="s">
        <v>53</v>
      </c>
      <c r="AX48" s="470">
        <v>2017</v>
      </c>
      <c r="AY48" s="471"/>
      <c r="AZ48" s="472"/>
      <c r="BA48" s="266">
        <f t="shared" si="13"/>
        <v>3</v>
      </c>
      <c r="BB48" s="473">
        <f t="shared" si="14"/>
        <v>-24211</v>
      </c>
      <c r="BC48" s="267">
        <f>VLOOKUP(Y48,'[2]- DLiêu Gốc -'!$C$1:$F$60,3,0)</f>
        <v>2.34</v>
      </c>
      <c r="BD48" s="267">
        <f>VLOOKUP(Y48,'[2]- DLiêu Gốc -'!$C$1:$F$60,4,0)</f>
        <v>0.33</v>
      </c>
      <c r="BE48" s="474" t="str">
        <f t="shared" si="15"/>
        <v>PCTN</v>
      </c>
      <c r="BF48" s="475">
        <v>14</v>
      </c>
      <c r="BG48" s="476" t="s">
        <v>41</v>
      </c>
      <c r="BH48" s="477" t="s">
        <v>43</v>
      </c>
      <c r="BI48" s="478" t="s">
        <v>53</v>
      </c>
      <c r="BJ48" s="730">
        <v>5</v>
      </c>
      <c r="BK48" s="479" t="s">
        <v>53</v>
      </c>
      <c r="BL48" s="480">
        <v>2017</v>
      </c>
      <c r="BM48" s="481"/>
      <c r="BN48" s="482"/>
      <c r="BO48" s="483">
        <f t="shared" si="16"/>
        <v>15</v>
      </c>
      <c r="BP48" s="484" t="s">
        <v>41</v>
      </c>
      <c r="BQ48" s="485" t="s">
        <v>43</v>
      </c>
      <c r="BR48" s="468" t="s">
        <v>53</v>
      </c>
      <c r="BS48" s="486">
        <v>5</v>
      </c>
      <c r="BT48" s="487" t="s">
        <v>53</v>
      </c>
      <c r="BU48" s="51">
        <v>2018</v>
      </c>
      <c r="BV48" s="731"/>
      <c r="BW48" s="865">
        <v>5</v>
      </c>
      <c r="BX48" s="840">
        <f t="shared" si="17"/>
        <v>-24221</v>
      </c>
      <c r="BY48" s="474" t="str">
        <f t="shared" si="18"/>
        <v>- - -</v>
      </c>
      <c r="BZ48" s="732" t="str">
        <f t="shared" si="19"/>
        <v>Chánh Văn phòng Học viện, Trưởng Ban Tổ chức - Cán bộ, Trưởng Phân viện Học viện Hành chính Quốc gia tại Thành phố Hồ Chí Minh</v>
      </c>
      <c r="CA48" s="3" t="str">
        <f t="shared" si="20"/>
        <v>A</v>
      </c>
      <c r="CB48" s="733" t="str">
        <f t="shared" si="21"/>
        <v>=&gt; s</v>
      </c>
      <c r="CC48" s="268">
        <f t="shared" si="22"/>
        <v>24235</v>
      </c>
      <c r="CD48" s="98" t="str">
        <f t="shared" si="23"/>
        <v>S</v>
      </c>
      <c r="CE48" s="98">
        <v>2014</v>
      </c>
      <c r="CF48" s="866"/>
      <c r="CG48" s="98"/>
      <c r="CH48" s="734"/>
      <c r="CI48" s="98" t="str">
        <f t="shared" si="24"/>
        <v>- - -</v>
      </c>
      <c r="CJ48" s="269" t="str">
        <f t="shared" si="25"/>
        <v>- - -</v>
      </c>
      <c r="CK48" s="735"/>
      <c r="CL48" s="736"/>
      <c r="CM48" s="735"/>
      <c r="CN48" s="737"/>
      <c r="CO48" s="269" t="str">
        <f t="shared" si="26"/>
        <v>- - -</v>
      </c>
      <c r="CP48" s="735"/>
      <c r="CQ48" s="736"/>
      <c r="CR48" s="735"/>
      <c r="CS48" s="737"/>
      <c r="CT48" s="738" t="str">
        <f t="shared" si="27"/>
        <v>---</v>
      </c>
      <c r="CU48" s="739" t="str">
        <f t="shared" si="28"/>
        <v>/-/ /-/</v>
      </c>
      <c r="CV48" s="740">
        <f t="shared" si="29"/>
        <v>9</v>
      </c>
      <c r="CW48" s="741">
        <f t="shared" si="30"/>
        <v>2038</v>
      </c>
      <c r="CX48" s="740">
        <f t="shared" si="31"/>
        <v>6</v>
      </c>
      <c r="CY48" s="741">
        <f t="shared" si="32"/>
        <v>2038</v>
      </c>
      <c r="CZ48" s="740">
        <f t="shared" si="33"/>
        <v>3</v>
      </c>
      <c r="DA48" s="741">
        <f t="shared" si="34"/>
        <v>2038</v>
      </c>
      <c r="DB48" s="742" t="str">
        <f t="shared" si="35"/>
        <v>- - -</v>
      </c>
      <c r="DC48" s="743" t="str">
        <f t="shared" si="36"/>
        <v>. .</v>
      </c>
      <c r="DD48" s="743"/>
      <c r="DE48" s="268">
        <f t="shared" si="37"/>
        <v>720</v>
      </c>
      <c r="DF48" s="268">
        <f t="shared" si="38"/>
        <v>-23732</v>
      </c>
      <c r="DG48" s="268">
        <f t="shared" si="39"/>
        <v>-1978</v>
      </c>
      <c r="DH48" s="268" t="str">
        <f t="shared" si="40"/>
        <v>Nam dưới 35</v>
      </c>
      <c r="DI48" s="268"/>
      <c r="DJ48" s="268"/>
      <c r="DK48" s="474" t="str">
        <f t="shared" si="41"/>
        <v>Đến 30</v>
      </c>
      <c r="DL48" s="735" t="str">
        <f t="shared" si="42"/>
        <v>TD</v>
      </c>
      <c r="DM48" s="744">
        <v>2008</v>
      </c>
      <c r="DN48" s="98"/>
      <c r="DO48" s="745"/>
      <c r="DP48" s="744"/>
      <c r="DQ48" s="737"/>
      <c r="DR48" s="746"/>
      <c r="DS48" s="279"/>
      <c r="DT48" s="270"/>
      <c r="DU48" s="51"/>
      <c r="DV48" s="447" t="s">
        <v>296</v>
      </c>
      <c r="DW48" s="467" t="s">
        <v>225</v>
      </c>
      <c r="DX48" s="469" t="s">
        <v>296</v>
      </c>
      <c r="DY48" s="469" t="s">
        <v>43</v>
      </c>
      <c r="DZ48" s="469" t="s">
        <v>53</v>
      </c>
      <c r="EA48" s="747" t="s">
        <v>43</v>
      </c>
      <c r="EB48" s="469" t="s">
        <v>53</v>
      </c>
      <c r="EC48" s="748" t="s">
        <v>62</v>
      </c>
      <c r="ED48" s="467">
        <f t="shared" si="43"/>
        <v>0</v>
      </c>
      <c r="EE48" s="469" t="str">
        <f t="shared" si="44"/>
        <v>- - -</v>
      </c>
      <c r="EF48" s="469" t="s">
        <v>43</v>
      </c>
      <c r="EG48" s="469" t="s">
        <v>53</v>
      </c>
      <c r="EH48" s="747" t="s">
        <v>43</v>
      </c>
      <c r="EI48" s="98" t="s">
        <v>53</v>
      </c>
      <c r="EJ48" s="269" t="s">
        <v>62</v>
      </c>
      <c r="EK48" s="271"/>
      <c r="EL48" s="51" t="str">
        <f t="shared" si="45"/>
        <v>- - -</v>
      </c>
      <c r="EM48" s="749" t="str">
        <f t="shared" si="46"/>
        <v>---</v>
      </c>
      <c r="EN48" s="749"/>
      <c r="EO48" s="749"/>
      <c r="EP48" s="749"/>
      <c r="EQ48" s="749"/>
      <c r="ER48" s="749"/>
      <c r="ES48" s="749"/>
      <c r="ET48" s="749"/>
      <c r="EU48" s="749"/>
      <c r="EV48" s="749"/>
      <c r="EW48" s="749"/>
      <c r="EX48" s="749"/>
      <c r="EY48" s="749"/>
      <c r="EZ48" s="749"/>
      <c r="FA48" s="749"/>
      <c r="FB48" s="749"/>
      <c r="FC48" s="749"/>
      <c r="FD48" s="749"/>
      <c r="FE48" s="749"/>
      <c r="FF48" s="749"/>
      <c r="FG48" s="749"/>
      <c r="FH48" s="749"/>
      <c r="FI48" s="749"/>
      <c r="FJ48" s="749"/>
      <c r="FK48" s="750"/>
      <c r="FL48" s="750"/>
      <c r="FM48" s="750"/>
      <c r="FN48" s="750"/>
      <c r="FO48" s="750"/>
      <c r="FP48" s="867"/>
      <c r="FQ48" s="867"/>
      <c r="FR48" s="867"/>
      <c r="FS48" s="867"/>
      <c r="FT48" s="867"/>
      <c r="FU48" s="867"/>
      <c r="FV48" s="867"/>
      <c r="FW48" s="867"/>
      <c r="FX48" s="867"/>
      <c r="FY48" s="867"/>
      <c r="FZ48" s="867"/>
      <c r="GA48" s="867"/>
      <c r="GB48" s="867"/>
      <c r="GC48" s="867"/>
      <c r="GD48" s="867"/>
      <c r="GE48" s="867"/>
      <c r="GF48" s="867"/>
      <c r="GG48" s="867"/>
      <c r="GH48" s="867"/>
      <c r="GI48" s="867"/>
      <c r="GJ48" s="867"/>
      <c r="GK48" s="867"/>
      <c r="GL48" s="867"/>
      <c r="GM48" s="867"/>
      <c r="GN48" s="867"/>
      <c r="GO48" s="867"/>
      <c r="GP48" s="867"/>
      <c r="GQ48" s="867"/>
      <c r="GR48" s="867"/>
      <c r="GS48" s="867"/>
      <c r="GT48" s="867"/>
      <c r="GU48" s="867"/>
      <c r="GV48" s="867"/>
      <c r="GW48" s="867"/>
      <c r="GX48" s="867"/>
      <c r="GY48" s="867"/>
      <c r="GZ48" s="867"/>
      <c r="HA48" s="867"/>
      <c r="HB48" s="867"/>
      <c r="HC48" s="867"/>
      <c r="HD48" s="867"/>
      <c r="HE48" s="867"/>
      <c r="HF48" s="867"/>
      <c r="HG48" s="867"/>
      <c r="HH48" s="867"/>
      <c r="HI48" s="867"/>
      <c r="HJ48" s="867"/>
      <c r="HK48" s="867"/>
      <c r="HL48" s="867"/>
      <c r="HM48" s="867"/>
      <c r="HN48" s="867"/>
      <c r="HO48" s="867"/>
      <c r="HP48" s="867"/>
    </row>
    <row r="49" spans="1:232" s="64" customFormat="1" ht="28.5" customHeight="1" x14ac:dyDescent="0.3">
      <c r="A49" s="65"/>
      <c r="B49" s="60"/>
      <c r="C49" s="72"/>
      <c r="D49" s="810"/>
      <c r="E49" s="810"/>
      <c r="F49" s="810"/>
      <c r="G49" s="810"/>
      <c r="H49" s="810"/>
      <c r="I49" s="810"/>
      <c r="J49" s="810"/>
      <c r="K49" s="810"/>
      <c r="L49" s="810"/>
      <c r="M49" s="810"/>
      <c r="N49" s="810"/>
      <c r="O49" s="810"/>
      <c r="P49" s="810"/>
      <c r="Q49" s="810"/>
      <c r="R49" s="810"/>
      <c r="S49" s="62"/>
      <c r="T49" s="62"/>
      <c r="U49" s="62"/>
      <c r="V49" s="63"/>
      <c r="W49" s="586"/>
      <c r="X49" s="811" t="s">
        <v>11</v>
      </c>
      <c r="Y49" s="811"/>
      <c r="Z49" s="811"/>
      <c r="AA49" s="811"/>
      <c r="AB49" s="811"/>
      <c r="AC49" s="811"/>
      <c r="AD49" s="811"/>
      <c r="AE49" s="811"/>
      <c r="AF49" s="811"/>
      <c r="AG49" s="811"/>
      <c r="AH49" s="811"/>
      <c r="AI49" s="811"/>
      <c r="AJ49" s="811"/>
      <c r="AK49" s="811"/>
      <c r="AL49" s="811"/>
      <c r="AM49" s="811"/>
      <c r="AN49" s="811"/>
      <c r="AO49" s="811"/>
      <c r="AP49" s="811"/>
      <c r="AQ49" s="811"/>
      <c r="AR49" s="811"/>
      <c r="AS49" s="811"/>
      <c r="AT49" s="811"/>
      <c r="AU49" s="811"/>
      <c r="AV49" s="811"/>
      <c r="AW49" s="811"/>
      <c r="AX49" s="811"/>
      <c r="AY49" s="811"/>
      <c r="AZ49" s="811"/>
      <c r="BA49" s="811"/>
      <c r="BB49" s="811"/>
      <c r="BC49" s="811"/>
      <c r="BD49" s="811"/>
      <c r="BE49" s="811"/>
      <c r="BF49" s="811"/>
      <c r="BG49" s="811"/>
      <c r="BH49" s="811"/>
      <c r="BI49" s="811"/>
      <c r="BJ49" s="811"/>
      <c r="BK49" s="811"/>
      <c r="BL49" s="811"/>
      <c r="BM49" s="811"/>
      <c r="BN49" s="811"/>
      <c r="BO49" s="811"/>
      <c r="BP49" s="811"/>
      <c r="BQ49" s="811"/>
      <c r="BR49" s="811"/>
      <c r="BS49" s="811"/>
      <c r="BT49" s="811"/>
      <c r="BU49" s="811"/>
      <c r="BV49" s="193"/>
      <c r="BW49" s="642"/>
      <c r="BX49" s="643"/>
      <c r="BY49" s="643"/>
      <c r="BZ49" s="643"/>
      <c r="CA49" s="643"/>
      <c r="CB49" s="643"/>
      <c r="CC49" s="643"/>
      <c r="CD49" s="631"/>
      <c r="CE49" s="644"/>
      <c r="CF49" s="645"/>
      <c r="CG49" s="631"/>
      <c r="CH49" s="646"/>
      <c r="CI49" s="631"/>
      <c r="CJ49" s="631"/>
      <c r="CK49" s="631"/>
      <c r="CL49" s="631"/>
      <c r="CM49" s="631"/>
      <c r="CN49" s="631"/>
      <c r="CO49" s="631"/>
      <c r="CP49" s="631"/>
      <c r="CQ49" s="631"/>
      <c r="CR49" s="609"/>
      <c r="CS49" s="609"/>
      <c r="CT49" s="609"/>
      <c r="CU49" s="609"/>
      <c r="CV49" s="609"/>
      <c r="CW49" s="609"/>
      <c r="CX49" s="609"/>
      <c r="CY49" s="609"/>
      <c r="CZ49" s="609"/>
      <c r="DA49" s="609"/>
      <c r="FP49" s="868"/>
      <c r="FQ49" s="868"/>
      <c r="FR49" s="868"/>
      <c r="FS49" s="868"/>
      <c r="FT49" s="868"/>
      <c r="FU49" s="868"/>
      <c r="FV49" s="868"/>
      <c r="FW49" s="868"/>
      <c r="FX49" s="868"/>
      <c r="FY49" s="868"/>
      <c r="FZ49" s="868"/>
      <c r="GA49" s="868"/>
      <c r="GB49" s="868"/>
      <c r="GC49" s="868"/>
      <c r="GD49" s="868"/>
      <c r="GE49" s="868"/>
      <c r="GF49" s="868"/>
      <c r="GG49" s="868"/>
      <c r="GH49" s="868"/>
      <c r="GI49" s="868"/>
      <c r="GJ49" s="868"/>
      <c r="GK49" s="868"/>
      <c r="GL49" s="868"/>
      <c r="GM49" s="868"/>
      <c r="GN49" s="868"/>
      <c r="GO49" s="868"/>
      <c r="GP49" s="868"/>
      <c r="GQ49" s="868"/>
      <c r="GR49" s="868"/>
      <c r="GS49" s="868"/>
      <c r="GT49" s="868"/>
      <c r="GU49" s="868"/>
      <c r="GV49" s="868"/>
      <c r="GW49" s="868"/>
      <c r="GX49" s="868"/>
      <c r="GY49" s="868"/>
      <c r="GZ49" s="868"/>
      <c r="HA49" s="868"/>
      <c r="HB49" s="868"/>
      <c r="HC49" s="868"/>
      <c r="HD49" s="868"/>
      <c r="HE49" s="868"/>
      <c r="HF49" s="868"/>
      <c r="HG49" s="868"/>
      <c r="HH49" s="868"/>
      <c r="HI49" s="868"/>
      <c r="HJ49" s="868"/>
      <c r="HK49" s="868"/>
      <c r="HL49" s="868"/>
      <c r="HM49" s="868"/>
      <c r="HN49" s="868"/>
      <c r="HO49" s="868"/>
      <c r="HP49" s="868"/>
      <c r="HQ49" s="682"/>
      <c r="HR49" s="682"/>
      <c r="HS49" s="682"/>
      <c r="HT49" s="682"/>
      <c r="HU49" s="682"/>
      <c r="HV49" s="682"/>
      <c r="HW49" s="682"/>
      <c r="HX49" s="682"/>
    </row>
    <row r="50" spans="1:232" s="61" customFormat="1" ht="18" customHeight="1" x14ac:dyDescent="0.3">
      <c r="A50" s="59"/>
      <c r="B50" s="66"/>
      <c r="C50" s="67"/>
      <c r="D50" s="176"/>
      <c r="E50" s="177"/>
      <c r="F50" s="178"/>
      <c r="G50" s="179"/>
      <c r="H50" s="176"/>
      <c r="I50" s="180"/>
      <c r="J50" s="180"/>
      <c r="K50" s="180"/>
      <c r="L50" s="180"/>
      <c r="M50" s="180"/>
      <c r="N50" s="180"/>
      <c r="O50" s="180"/>
      <c r="P50" s="180"/>
      <c r="Q50" s="181"/>
      <c r="R50" s="181"/>
      <c r="S50" s="69"/>
      <c r="T50" s="69"/>
      <c r="U50" s="69"/>
      <c r="V50" s="70"/>
      <c r="W50" s="68"/>
      <c r="X50" s="812" t="s">
        <v>131</v>
      </c>
      <c r="Y50" s="812"/>
      <c r="Z50" s="812"/>
      <c r="AA50" s="812"/>
      <c r="AB50" s="812"/>
      <c r="AC50" s="812"/>
      <c r="AD50" s="812"/>
      <c r="AE50" s="812"/>
      <c r="AF50" s="812"/>
      <c r="AG50" s="812"/>
      <c r="AH50" s="812"/>
      <c r="AI50" s="812"/>
      <c r="AJ50" s="812"/>
      <c r="AK50" s="812"/>
      <c r="AL50" s="812"/>
      <c r="AM50" s="812"/>
      <c r="AN50" s="812"/>
      <c r="AO50" s="812"/>
      <c r="AP50" s="812"/>
      <c r="AQ50" s="812"/>
      <c r="AR50" s="812"/>
      <c r="AS50" s="812"/>
      <c r="AT50" s="812"/>
      <c r="AU50" s="812"/>
      <c r="AV50" s="812"/>
      <c r="AW50" s="812"/>
      <c r="AX50" s="812"/>
      <c r="AY50" s="812"/>
      <c r="AZ50" s="812"/>
      <c r="BA50" s="812"/>
      <c r="BB50" s="812"/>
      <c r="BC50" s="812"/>
      <c r="BD50" s="812"/>
      <c r="BE50" s="812"/>
      <c r="BF50" s="812"/>
      <c r="BG50" s="812"/>
      <c r="BH50" s="812"/>
      <c r="BI50" s="812"/>
      <c r="BJ50" s="812"/>
      <c r="BK50" s="812"/>
      <c r="BL50" s="812"/>
      <c r="BM50" s="812"/>
      <c r="BN50" s="812"/>
      <c r="BO50" s="812"/>
      <c r="BP50" s="812"/>
      <c r="BQ50" s="812"/>
      <c r="BR50" s="812"/>
      <c r="BS50" s="812"/>
      <c r="BT50" s="812"/>
      <c r="BU50" s="812"/>
      <c r="BV50" s="192"/>
      <c r="BW50" s="647"/>
      <c r="BX50" s="648"/>
      <c r="BY50" s="648"/>
      <c r="BZ50" s="648"/>
      <c r="CA50" s="648"/>
      <c r="CB50" s="648"/>
      <c r="CC50" s="648"/>
      <c r="CD50" s="649"/>
      <c r="CE50" s="650"/>
      <c r="CF50" s="651"/>
      <c r="CG50" s="649"/>
      <c r="CH50" s="652"/>
      <c r="CI50" s="653"/>
      <c r="CJ50" s="649"/>
      <c r="CK50" s="649"/>
      <c r="CL50" s="649"/>
      <c r="CM50" s="649"/>
      <c r="CN50" s="649"/>
      <c r="CO50" s="649"/>
      <c r="CP50" s="649"/>
      <c r="CQ50" s="649"/>
      <c r="CR50" s="618"/>
      <c r="CS50" s="618"/>
      <c r="CT50" s="618"/>
      <c r="CU50" s="618"/>
      <c r="CV50" s="618"/>
      <c r="CW50" s="618"/>
      <c r="CX50" s="618"/>
      <c r="CY50" s="618"/>
      <c r="CZ50" s="618"/>
      <c r="DA50" s="618"/>
      <c r="FP50" s="619"/>
      <c r="FQ50" s="619"/>
      <c r="FR50" s="619"/>
      <c r="FS50" s="619"/>
      <c r="FT50" s="619"/>
      <c r="FU50" s="619"/>
      <c r="FV50" s="619"/>
      <c r="FW50" s="619"/>
      <c r="FX50" s="619"/>
      <c r="FY50" s="619"/>
      <c r="FZ50" s="619"/>
      <c r="GA50" s="619"/>
      <c r="GB50" s="619"/>
      <c r="GC50" s="619"/>
      <c r="GD50" s="619"/>
      <c r="GE50" s="619"/>
      <c r="GF50" s="619"/>
      <c r="GG50" s="619"/>
      <c r="GH50" s="619"/>
      <c r="GI50" s="619"/>
      <c r="GJ50" s="619"/>
      <c r="GK50" s="619"/>
      <c r="GL50" s="619"/>
      <c r="GM50" s="619"/>
      <c r="GN50" s="619"/>
      <c r="GO50" s="619"/>
      <c r="GP50" s="619"/>
      <c r="GQ50" s="619"/>
      <c r="GR50" s="619"/>
      <c r="GS50" s="619"/>
      <c r="GT50" s="619"/>
      <c r="GU50" s="619"/>
      <c r="GV50" s="619"/>
      <c r="GW50" s="619"/>
      <c r="GX50" s="619"/>
      <c r="GY50" s="619"/>
      <c r="GZ50" s="619"/>
      <c r="HA50" s="619"/>
      <c r="HB50" s="619"/>
      <c r="HC50" s="619"/>
      <c r="HD50" s="619"/>
      <c r="HE50" s="619"/>
      <c r="HF50" s="619"/>
      <c r="HG50" s="619"/>
      <c r="HH50" s="619"/>
      <c r="HI50" s="160"/>
      <c r="HJ50" s="160"/>
      <c r="HK50" s="160"/>
      <c r="HL50" s="160"/>
      <c r="HM50" s="160"/>
      <c r="HN50" s="160"/>
      <c r="HO50" s="160"/>
      <c r="HP50" s="160"/>
      <c r="HQ50" s="160"/>
      <c r="HR50" s="160"/>
      <c r="HS50" s="160"/>
      <c r="HT50" s="160"/>
      <c r="HU50" s="160"/>
      <c r="HV50" s="160"/>
      <c r="HW50" s="160"/>
      <c r="HX50" s="160"/>
    </row>
    <row r="51" spans="1:232" ht="49.5" customHeight="1" x14ac:dyDescent="0.2">
      <c r="BJ51" s="817" t="s">
        <v>37</v>
      </c>
      <c r="BK51" s="817"/>
      <c r="BL51" s="817"/>
      <c r="BM51" s="817"/>
      <c r="BN51" s="817"/>
    </row>
    <row r="52" spans="1:232" s="58" customFormat="1" ht="6" customHeight="1" x14ac:dyDescent="0.25">
      <c r="A52" s="10">
        <v>721</v>
      </c>
      <c r="B52" s="66"/>
      <c r="C52" s="67"/>
      <c r="D52" s="176"/>
      <c r="E52" s="177"/>
      <c r="F52" s="178"/>
      <c r="G52" s="179"/>
      <c r="H52" s="176"/>
      <c r="I52" s="182"/>
      <c r="J52" s="182"/>
      <c r="K52" s="182"/>
      <c r="L52" s="182"/>
      <c r="M52" s="182"/>
      <c r="N52" s="182"/>
      <c r="O52" s="182"/>
      <c r="P52" s="182"/>
      <c r="Q52" s="183"/>
      <c r="R52" s="183"/>
      <c r="S52" s="73"/>
      <c r="T52" s="73"/>
      <c r="U52" s="73"/>
      <c r="V52" s="74"/>
      <c r="W52" s="90"/>
      <c r="X52" s="90"/>
      <c r="Y52" s="71"/>
      <c r="Z52" s="71"/>
      <c r="AA52" s="813" t="s">
        <v>37</v>
      </c>
      <c r="AB52" s="813"/>
      <c r="AC52" s="813"/>
      <c r="AD52" s="813"/>
      <c r="AE52" s="813"/>
      <c r="AF52" s="813"/>
      <c r="AG52" s="813"/>
      <c r="AH52" s="813"/>
      <c r="AI52" s="813"/>
      <c r="AJ52" s="813"/>
      <c r="AK52" s="813"/>
      <c r="AL52" s="813"/>
      <c r="AM52" s="813"/>
      <c r="AN52" s="813"/>
      <c r="AO52" s="813"/>
      <c r="AP52" s="813"/>
      <c r="AQ52" s="813"/>
      <c r="AR52" s="813"/>
      <c r="AS52" s="813"/>
      <c r="AT52" s="813"/>
      <c r="AU52" s="813"/>
      <c r="AV52" s="813"/>
      <c r="AW52" s="813"/>
      <c r="AX52" s="813"/>
      <c r="AY52" s="813"/>
      <c r="AZ52" s="813"/>
      <c r="BA52" s="813"/>
      <c r="BB52" s="813"/>
      <c r="BC52" s="813"/>
      <c r="BD52" s="813"/>
      <c r="BE52" s="813"/>
      <c r="BF52" s="813"/>
      <c r="BG52" s="813"/>
      <c r="BH52" s="813"/>
      <c r="BI52" s="813"/>
      <c r="BJ52" s="813"/>
      <c r="BK52" s="813"/>
      <c r="BL52" s="813"/>
      <c r="BM52" s="813"/>
      <c r="BN52" s="813"/>
      <c r="BO52" s="813"/>
      <c r="BP52" s="813"/>
      <c r="BQ52" s="813"/>
      <c r="BR52" s="813"/>
      <c r="BS52" s="813"/>
      <c r="BT52" s="813"/>
      <c r="BU52" s="813"/>
      <c r="BV52" s="813"/>
      <c r="BW52" s="813"/>
      <c r="BX52" s="813"/>
      <c r="BY52" s="813"/>
      <c r="BZ52" s="813"/>
      <c r="CA52" s="813"/>
      <c r="CB52" s="813"/>
      <c r="CC52" s="813"/>
      <c r="CD52" s="654"/>
      <c r="CE52" s="655"/>
      <c r="CF52" s="133"/>
      <c r="CG52" s="656"/>
      <c r="CH52" s="657"/>
      <c r="CI52" s="658"/>
      <c r="CJ52" s="659"/>
      <c r="CK52" s="660"/>
      <c r="CL52" s="661"/>
      <c r="CM52" s="662"/>
      <c r="CN52" s="663"/>
      <c r="CO52" s="663"/>
      <c r="CP52" s="661"/>
      <c r="CQ52" s="664"/>
      <c r="CR52" s="620"/>
      <c r="CS52" s="620"/>
      <c r="CT52" s="621"/>
      <c r="CU52" s="621"/>
      <c r="CV52" s="621"/>
      <c r="CW52" s="621"/>
      <c r="CX52" s="621"/>
      <c r="CY52" s="621"/>
      <c r="CZ52" s="621"/>
      <c r="DA52" s="621"/>
      <c r="DB52" s="8"/>
      <c r="DC52" s="8"/>
      <c r="DD52" s="8"/>
      <c r="DE52" s="8"/>
      <c r="DF52" s="8"/>
      <c r="DG52" s="8"/>
      <c r="DH52" s="8"/>
      <c r="DI52" s="8"/>
      <c r="DJ52" s="52"/>
      <c r="DK52" s="53"/>
      <c r="DL52" s="11"/>
      <c r="DM52" s="6"/>
      <c r="DN52" s="54"/>
      <c r="DO52" s="12"/>
      <c r="DP52" s="55"/>
      <c r="DQ52" s="56"/>
      <c r="DR52" s="57"/>
      <c r="DS52" s="15"/>
      <c r="DT52" s="15"/>
      <c r="DU52" s="55"/>
      <c r="DV52" s="13"/>
      <c r="DW52" s="4"/>
      <c r="DX52" s="14"/>
      <c r="DY52" s="14"/>
      <c r="FP52" s="686"/>
      <c r="FQ52" s="686"/>
      <c r="FR52" s="686"/>
      <c r="FS52" s="686"/>
      <c r="FT52" s="686"/>
      <c r="FU52" s="686"/>
      <c r="FV52" s="686"/>
      <c r="FW52" s="686"/>
      <c r="FX52" s="686"/>
      <c r="FY52" s="686"/>
      <c r="FZ52" s="686"/>
      <c r="GA52" s="686"/>
      <c r="GB52" s="686"/>
      <c r="GC52" s="686"/>
      <c r="GD52" s="686"/>
      <c r="GE52" s="686"/>
      <c r="GF52" s="686"/>
      <c r="GG52" s="686"/>
      <c r="GH52" s="686"/>
      <c r="GI52" s="686"/>
      <c r="GJ52" s="686"/>
      <c r="GK52" s="686"/>
      <c r="GL52" s="686"/>
      <c r="GM52" s="686"/>
      <c r="GN52" s="686"/>
      <c r="GO52" s="686"/>
      <c r="GP52" s="686"/>
      <c r="GQ52" s="686"/>
      <c r="GR52" s="686"/>
      <c r="GS52" s="686"/>
      <c r="GT52" s="686"/>
      <c r="GU52" s="686"/>
      <c r="GV52" s="686"/>
      <c r="GW52" s="686"/>
      <c r="GX52" s="686"/>
      <c r="GY52" s="686"/>
      <c r="GZ52" s="686"/>
      <c r="HA52" s="686"/>
      <c r="HB52" s="686"/>
      <c r="HC52" s="686"/>
      <c r="HD52" s="686"/>
      <c r="HE52" s="686"/>
      <c r="HF52" s="686"/>
      <c r="HG52" s="686"/>
      <c r="HH52" s="686"/>
      <c r="HI52" s="336"/>
      <c r="HJ52" s="336"/>
      <c r="HK52" s="336"/>
      <c r="HL52" s="336"/>
      <c r="HM52" s="336"/>
      <c r="HN52" s="336"/>
      <c r="HO52" s="336"/>
      <c r="HP52" s="336"/>
      <c r="HQ52" s="336"/>
      <c r="HR52" s="336"/>
      <c r="HS52" s="336"/>
      <c r="HT52" s="336"/>
      <c r="HU52" s="336"/>
      <c r="HV52" s="336"/>
      <c r="HW52" s="336"/>
      <c r="HX52" s="336"/>
    </row>
    <row r="53" spans="1:232" s="58" customFormat="1" ht="10.5" customHeight="1" x14ac:dyDescent="0.25">
      <c r="A53" s="10">
        <v>746</v>
      </c>
      <c r="C53" s="67"/>
      <c r="D53" s="176"/>
      <c r="E53" s="177"/>
      <c r="F53" s="178"/>
      <c r="G53" s="179"/>
      <c r="H53" s="176"/>
      <c r="I53" s="182"/>
      <c r="J53" s="182"/>
      <c r="K53" s="182"/>
      <c r="L53" s="182"/>
      <c r="M53" s="182"/>
      <c r="N53" s="182"/>
      <c r="O53" s="182"/>
      <c r="P53" s="182"/>
      <c r="Q53" s="183"/>
      <c r="R53" s="183"/>
      <c r="S53" s="73"/>
      <c r="T53" s="73"/>
      <c r="U53" s="73"/>
      <c r="V53" s="74"/>
      <c r="W53" s="90"/>
      <c r="X53" s="814" t="s">
        <v>172</v>
      </c>
      <c r="Y53" s="814"/>
      <c r="Z53" s="814"/>
      <c r="AA53" s="814"/>
      <c r="AB53" s="814"/>
      <c r="AC53" s="814"/>
      <c r="AD53" s="814"/>
      <c r="AE53" s="814"/>
      <c r="AF53" s="814"/>
      <c r="AG53" s="814"/>
      <c r="AH53" s="814"/>
      <c r="AI53" s="814"/>
      <c r="AJ53" s="814"/>
      <c r="AK53" s="814"/>
      <c r="AL53" s="814"/>
      <c r="AM53" s="814"/>
      <c r="AN53" s="814"/>
      <c r="AO53" s="814"/>
      <c r="AP53" s="814"/>
      <c r="AQ53" s="814"/>
      <c r="AR53" s="814"/>
      <c r="AS53" s="814"/>
      <c r="AT53" s="814"/>
      <c r="AU53" s="814"/>
      <c r="AV53" s="814"/>
      <c r="AW53" s="814"/>
      <c r="AX53" s="814"/>
      <c r="AY53" s="814"/>
      <c r="AZ53" s="814"/>
      <c r="BA53" s="814"/>
      <c r="BB53" s="814"/>
      <c r="BC53" s="814"/>
      <c r="BD53" s="814"/>
      <c r="BE53" s="814"/>
      <c r="BF53" s="814"/>
      <c r="BG53" s="814"/>
      <c r="BH53" s="814"/>
      <c r="BI53" s="814"/>
      <c r="BJ53" s="814"/>
      <c r="BK53" s="814"/>
      <c r="BL53" s="814"/>
      <c r="BM53" s="814"/>
      <c r="BN53" s="814"/>
      <c r="BO53" s="814"/>
      <c r="BP53" s="814"/>
      <c r="BQ53" s="814"/>
      <c r="BR53" s="814"/>
      <c r="BS53" s="814"/>
      <c r="BT53" s="814"/>
      <c r="BU53" s="814"/>
      <c r="BV53" s="589"/>
      <c r="BW53" s="665"/>
      <c r="BX53" s="666"/>
      <c r="BY53" s="666"/>
      <c r="BZ53" s="666"/>
      <c r="CA53" s="666"/>
      <c r="CB53" s="666"/>
      <c r="CC53" s="666"/>
      <c r="CD53" s="654"/>
      <c r="CE53" s="667"/>
      <c r="CF53" s="668"/>
      <c r="CG53" s="669"/>
      <c r="CH53" s="657"/>
      <c r="CI53" s="658"/>
      <c r="CJ53" s="659"/>
      <c r="CK53" s="660"/>
      <c r="CL53" s="661"/>
      <c r="CM53" s="662"/>
      <c r="CN53" s="663"/>
      <c r="CO53" s="663"/>
      <c r="CP53" s="661"/>
      <c r="CQ53" s="664"/>
      <c r="CR53" s="620"/>
      <c r="CS53" s="620"/>
      <c r="CT53" s="621"/>
      <c r="CU53" s="621"/>
      <c r="CV53" s="621"/>
      <c r="CW53" s="621"/>
      <c r="CX53" s="621"/>
      <c r="CY53" s="621"/>
      <c r="CZ53" s="621"/>
      <c r="DA53" s="621"/>
      <c r="DB53" s="8"/>
      <c r="DC53" s="8"/>
      <c r="DD53" s="8"/>
      <c r="DE53" s="8"/>
      <c r="DF53" s="8"/>
      <c r="DG53" s="8"/>
      <c r="DH53" s="8"/>
      <c r="DI53" s="8"/>
      <c r="DJ53" s="52"/>
      <c r="DK53" s="53"/>
      <c r="DL53" s="11"/>
      <c r="DM53" s="6"/>
      <c r="DN53" s="54"/>
      <c r="DO53" s="12"/>
      <c r="DP53" s="55"/>
      <c r="DQ53" s="56"/>
      <c r="DR53" s="57"/>
      <c r="DS53" s="15"/>
      <c r="DT53" s="15"/>
      <c r="DU53" s="55"/>
      <c r="DV53" s="13"/>
      <c r="DW53" s="4"/>
      <c r="DX53" s="14"/>
      <c r="DY53" s="14"/>
      <c r="FP53" s="686"/>
      <c r="FQ53" s="686"/>
      <c r="FR53" s="686"/>
      <c r="FS53" s="686"/>
      <c r="FT53" s="686"/>
      <c r="FU53" s="686"/>
      <c r="FV53" s="686"/>
      <c r="FW53" s="686"/>
      <c r="FX53" s="686"/>
      <c r="FY53" s="686"/>
      <c r="FZ53" s="686"/>
      <c r="GA53" s="686"/>
      <c r="GB53" s="686"/>
      <c r="GC53" s="686"/>
      <c r="GD53" s="686"/>
      <c r="GE53" s="686"/>
      <c r="GF53" s="686"/>
      <c r="GG53" s="686"/>
      <c r="GH53" s="686"/>
      <c r="GI53" s="686"/>
      <c r="GJ53" s="686"/>
      <c r="GK53" s="686"/>
      <c r="GL53" s="686"/>
      <c r="GM53" s="686"/>
      <c r="GN53" s="686"/>
      <c r="GO53" s="686"/>
      <c r="GP53" s="686"/>
      <c r="GQ53" s="686"/>
      <c r="GR53" s="686"/>
      <c r="GS53" s="686"/>
      <c r="GT53" s="686"/>
      <c r="GU53" s="686"/>
      <c r="GV53" s="686"/>
      <c r="GW53" s="686"/>
      <c r="GX53" s="686"/>
      <c r="GY53" s="686"/>
      <c r="GZ53" s="686"/>
      <c r="HA53" s="686"/>
      <c r="HB53" s="686"/>
      <c r="HC53" s="686"/>
      <c r="HD53" s="686"/>
      <c r="HE53" s="686"/>
      <c r="HF53" s="686"/>
      <c r="HG53" s="686"/>
      <c r="HH53" s="686"/>
      <c r="HI53" s="336"/>
      <c r="HJ53" s="336"/>
      <c r="HK53" s="336"/>
      <c r="HL53" s="336"/>
      <c r="HM53" s="336"/>
      <c r="HN53" s="336"/>
      <c r="HO53" s="336"/>
      <c r="HP53" s="336"/>
      <c r="HQ53" s="336"/>
      <c r="HR53" s="336"/>
      <c r="HS53" s="336"/>
      <c r="HT53" s="336"/>
      <c r="HU53" s="336"/>
      <c r="HV53" s="336"/>
      <c r="HW53" s="336"/>
      <c r="HX53" s="336"/>
    </row>
    <row r="54" spans="1:232" s="58" customFormat="1" ht="41.25" customHeight="1" x14ac:dyDescent="0.3">
      <c r="A54" s="10">
        <v>749</v>
      </c>
      <c r="B54" s="75"/>
      <c r="C54" s="67"/>
      <c r="D54" s="806"/>
      <c r="E54" s="806"/>
      <c r="F54" s="806"/>
      <c r="G54" s="806"/>
      <c r="H54" s="806"/>
      <c r="I54" s="806"/>
      <c r="J54" s="806"/>
      <c r="K54" s="806"/>
      <c r="L54" s="806"/>
      <c r="M54" s="806"/>
      <c r="N54" s="806"/>
      <c r="O54" s="806"/>
      <c r="P54" s="806"/>
      <c r="Q54" s="806"/>
      <c r="R54" s="806"/>
      <c r="S54" s="73"/>
      <c r="T54" s="73"/>
      <c r="U54" s="73"/>
      <c r="V54" s="74"/>
      <c r="W54" s="90"/>
      <c r="X54" s="814"/>
      <c r="Y54" s="814"/>
      <c r="Z54" s="814"/>
      <c r="AA54" s="814"/>
      <c r="AB54" s="814"/>
      <c r="AC54" s="814"/>
      <c r="AD54" s="814"/>
      <c r="AE54" s="814"/>
      <c r="AF54" s="814"/>
      <c r="AG54" s="814"/>
      <c r="AH54" s="814"/>
      <c r="AI54" s="814"/>
      <c r="AJ54" s="814"/>
      <c r="AK54" s="814"/>
      <c r="AL54" s="814"/>
      <c r="AM54" s="814"/>
      <c r="AN54" s="814"/>
      <c r="AO54" s="814"/>
      <c r="AP54" s="814"/>
      <c r="AQ54" s="814"/>
      <c r="AR54" s="814"/>
      <c r="AS54" s="814"/>
      <c r="AT54" s="814"/>
      <c r="AU54" s="814"/>
      <c r="AV54" s="814"/>
      <c r="AW54" s="814"/>
      <c r="AX54" s="814"/>
      <c r="AY54" s="814"/>
      <c r="AZ54" s="814"/>
      <c r="BA54" s="814"/>
      <c r="BB54" s="814"/>
      <c r="BC54" s="814"/>
      <c r="BD54" s="814"/>
      <c r="BE54" s="814"/>
      <c r="BF54" s="814"/>
      <c r="BG54" s="814"/>
      <c r="BH54" s="814"/>
      <c r="BI54" s="814"/>
      <c r="BJ54" s="814"/>
      <c r="BK54" s="814"/>
      <c r="BL54" s="814"/>
      <c r="BM54" s="814"/>
      <c r="BN54" s="814"/>
      <c r="BO54" s="814"/>
      <c r="BP54" s="814"/>
      <c r="BQ54" s="814"/>
      <c r="BR54" s="814"/>
      <c r="BS54" s="814"/>
      <c r="BT54" s="814"/>
      <c r="BU54" s="814"/>
      <c r="BV54" s="191"/>
      <c r="BW54" s="670"/>
      <c r="BX54" s="671"/>
      <c r="BY54" s="671"/>
      <c r="BZ54" s="671"/>
      <c r="CA54" s="671"/>
      <c r="CB54" s="671"/>
      <c r="CC54" s="671"/>
      <c r="CD54" s="672"/>
      <c r="CE54" s="264"/>
      <c r="CF54" s="673"/>
      <c r="CG54" s="658"/>
      <c r="CH54" s="657"/>
      <c r="CI54" s="658"/>
      <c r="CJ54" s="659"/>
      <c r="CK54" s="660"/>
      <c r="CL54" s="661"/>
      <c r="CM54" s="662"/>
      <c r="CN54" s="663"/>
      <c r="CO54" s="663"/>
      <c r="CP54" s="661"/>
      <c r="CQ54" s="664"/>
      <c r="CR54" s="620"/>
      <c r="CS54" s="620"/>
      <c r="CT54" s="621"/>
      <c r="CU54" s="621"/>
      <c r="CV54" s="621"/>
      <c r="CW54" s="621"/>
      <c r="CX54" s="621"/>
      <c r="CY54" s="621"/>
      <c r="CZ54" s="621"/>
      <c r="DA54" s="621"/>
      <c r="DB54" s="8"/>
      <c r="DC54" s="8"/>
      <c r="DD54" s="8"/>
      <c r="DE54" s="8"/>
      <c r="DF54" s="8"/>
      <c r="DG54" s="8"/>
      <c r="DH54" s="8"/>
      <c r="DI54" s="8"/>
      <c r="DJ54" s="52"/>
      <c r="DK54" s="53"/>
      <c r="DL54" s="11"/>
      <c r="DM54" s="6"/>
      <c r="DN54" s="54"/>
      <c r="DO54" s="12"/>
      <c r="DP54" s="55"/>
      <c r="DQ54" s="56"/>
      <c r="DR54" s="57"/>
      <c r="DS54" s="15"/>
      <c r="DT54" s="15"/>
      <c r="DU54" s="55"/>
      <c r="DV54" s="13"/>
      <c r="DW54" s="4"/>
      <c r="DX54" s="14"/>
      <c r="DY54" s="14"/>
      <c r="FP54" s="686"/>
      <c r="FQ54" s="686"/>
      <c r="FR54" s="686"/>
      <c r="FS54" s="686"/>
      <c r="FT54" s="686"/>
      <c r="FU54" s="686"/>
      <c r="FV54" s="686"/>
      <c r="FW54" s="686"/>
      <c r="FX54" s="686"/>
      <c r="FY54" s="686"/>
      <c r="FZ54" s="686"/>
      <c r="GA54" s="686"/>
      <c r="GB54" s="686"/>
      <c r="GC54" s="686"/>
      <c r="GD54" s="686"/>
      <c r="GE54" s="686"/>
      <c r="GF54" s="686"/>
      <c r="GG54" s="686"/>
      <c r="GH54" s="686"/>
      <c r="GI54" s="686"/>
      <c r="GJ54" s="686"/>
      <c r="GK54" s="686"/>
      <c r="GL54" s="686"/>
      <c r="GM54" s="686"/>
      <c r="GN54" s="686"/>
      <c r="GO54" s="686"/>
      <c r="GP54" s="686"/>
      <c r="GQ54" s="686"/>
      <c r="GR54" s="686"/>
      <c r="GS54" s="686"/>
      <c r="GT54" s="686"/>
      <c r="GU54" s="686"/>
      <c r="GV54" s="686"/>
      <c r="GW54" s="686"/>
      <c r="GX54" s="686"/>
      <c r="GY54" s="686"/>
      <c r="GZ54" s="686"/>
      <c r="HA54" s="686"/>
      <c r="HB54" s="686"/>
      <c r="HC54" s="686"/>
      <c r="HD54" s="686"/>
      <c r="HE54" s="686"/>
      <c r="HF54" s="686"/>
      <c r="HG54" s="686"/>
      <c r="HH54" s="686"/>
      <c r="HI54" s="336"/>
      <c r="HJ54" s="336"/>
      <c r="HK54" s="336"/>
      <c r="HL54" s="336"/>
      <c r="HM54" s="336"/>
      <c r="HN54" s="336"/>
      <c r="HO54" s="336"/>
      <c r="HP54" s="336"/>
      <c r="HQ54" s="336"/>
      <c r="HR54" s="336"/>
      <c r="HS54" s="336"/>
      <c r="HT54" s="336"/>
      <c r="HU54" s="336"/>
      <c r="HV54" s="336"/>
      <c r="HW54" s="336"/>
      <c r="HX54" s="336"/>
    </row>
    <row r="56" spans="1:232" hidden="1" x14ac:dyDescent="0.2"/>
    <row r="57" spans="1:232" hidden="1" x14ac:dyDescent="0.2"/>
    <row r="58" spans="1:232" hidden="1" x14ac:dyDescent="0.2"/>
    <row r="59" spans="1:232" hidden="1" x14ac:dyDescent="0.2"/>
    <row r="60" spans="1:232" hidden="1" x14ac:dyDescent="0.2"/>
    <row r="61" spans="1:232" hidden="1" x14ac:dyDescent="0.2"/>
    <row r="62" spans="1:232" hidden="1" x14ac:dyDescent="0.2"/>
    <row r="63" spans="1:232" hidden="1" x14ac:dyDescent="0.2"/>
    <row r="64" spans="1:232"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sheetData>
  <autoFilter ref="A16:ER51">
    <filterColumn colId="17" showButton="0"/>
    <filterColumn colId="21" showButton="0"/>
    <filterColumn colId="22" showButton="0"/>
    <filterColumn colId="57" showButton="0"/>
    <filterColumn colId="66" showButton="0"/>
    <filterColumn colId="70" showButton="0"/>
    <filterColumn colId="71" showButton="0"/>
  </autoFilter>
  <mergeCells count="38">
    <mergeCell ref="BF13:BG14"/>
    <mergeCell ref="BF12:BL12"/>
    <mergeCell ref="W12:Y14"/>
    <mergeCell ref="R12:S14"/>
    <mergeCell ref="B1:R1"/>
    <mergeCell ref="S1:BU1"/>
    <mergeCell ref="B2:R2"/>
    <mergeCell ref="S2:BU2"/>
    <mergeCell ref="B5:BU5"/>
    <mergeCell ref="S4:BU4"/>
    <mergeCell ref="B10:E10"/>
    <mergeCell ref="B12:B14"/>
    <mergeCell ref="D12:D14"/>
    <mergeCell ref="E12:E14"/>
    <mergeCell ref="F12:F14"/>
    <mergeCell ref="BS16:BU16"/>
    <mergeCell ref="BJ51:BN51"/>
    <mergeCell ref="BO12:BU12"/>
    <mergeCell ref="BS13:BU14"/>
    <mergeCell ref="BO13:BP14"/>
    <mergeCell ref="BM12:BN13"/>
    <mergeCell ref="BJ13:BL14"/>
    <mergeCell ref="BX12:BX14"/>
    <mergeCell ref="CA12:CA14"/>
    <mergeCell ref="CB12:CB14"/>
    <mergeCell ref="BV12:BV14"/>
    <mergeCell ref="D54:R54"/>
    <mergeCell ref="R16:S16"/>
    <mergeCell ref="V16:X16"/>
    <mergeCell ref="BF16:BG16"/>
    <mergeCell ref="BJ16:BL16"/>
    <mergeCell ref="D49:R49"/>
    <mergeCell ref="X49:BU49"/>
    <mergeCell ref="X50:BU50"/>
    <mergeCell ref="AA52:CC52"/>
    <mergeCell ref="X53:BU54"/>
    <mergeCell ref="BO16:BP16"/>
    <mergeCell ref="BM16:BN16"/>
  </mergeCells>
  <conditionalFormatting sqref="BX11">
    <cfRule type="cellIs" dxfId="91" priority="994" stopIfTrue="1" operator="between">
      <formula>"720"</formula>
      <formula>"720"</formula>
    </cfRule>
    <cfRule type="cellIs" dxfId="90" priority="995" stopIfTrue="1" operator="between">
      <formula>"660"</formula>
      <formula>"660"</formula>
    </cfRule>
  </conditionalFormatting>
  <conditionalFormatting sqref="DQ52:DQ54">
    <cfRule type="expression" dxfId="89" priority="992" stopIfTrue="1">
      <formula>IF(DR52&gt;0,1,0)</formula>
    </cfRule>
    <cfRule type="expression" dxfId="88" priority="993" stopIfTrue="1">
      <formula>IF(DR52=0,1,0)</formula>
    </cfRule>
  </conditionalFormatting>
  <conditionalFormatting sqref="DW52:DW54">
    <cfRule type="cellIs" dxfId="87" priority="989" stopIfTrue="1" operator="between">
      <formula>"Hưu"</formula>
      <formula>"Hưu"</formula>
    </cfRule>
    <cfRule type="cellIs" dxfId="86" priority="990" stopIfTrue="1" operator="between">
      <formula>"---"</formula>
      <formula>"---"</formula>
    </cfRule>
    <cfRule type="cellIs" dxfId="85" priority="991" stopIfTrue="1" operator="between">
      <formula>"Quá"</formula>
      <formula>"Quá"</formula>
    </cfRule>
  </conditionalFormatting>
  <conditionalFormatting sqref="DN52:DN54">
    <cfRule type="cellIs" dxfId="84" priority="986" stopIfTrue="1" operator="between">
      <formula>"Đến"</formula>
      <formula>"Đến"</formula>
    </cfRule>
    <cfRule type="cellIs" dxfId="83" priority="987" stopIfTrue="1" operator="between">
      <formula>"Quá"</formula>
      <formula>"Quá"</formula>
    </cfRule>
    <cfRule type="expression" dxfId="82" priority="988" stopIfTrue="1">
      <formula>IF(OR(DN52="Lương Sớm Hưu",DN52="Nâng Ngạch Hưu"),1,0)</formula>
    </cfRule>
  </conditionalFormatting>
  <conditionalFormatting sqref="DV52:DV54">
    <cfRule type="expression" dxfId="81" priority="983" stopIfTrue="1">
      <formula>IF(DV52="Nâg Ngạch sau TB",1,0)</formula>
    </cfRule>
    <cfRule type="expression" dxfId="80" priority="984" stopIfTrue="1">
      <formula>IF(DV52="Nâg Lươg Sớm sau TB",1,0)</formula>
    </cfRule>
    <cfRule type="expression" dxfId="79" priority="985" stopIfTrue="1">
      <formula>IF(DV52="Nâg PC TNVK cùng QĐ",1,0)</formula>
    </cfRule>
  </conditionalFormatting>
  <conditionalFormatting sqref="A52:A54">
    <cfRule type="expression" dxfId="78" priority="981" stopIfTrue="1">
      <formula>IF(#REF!="Hưu",1,0)</formula>
    </cfRule>
    <cfRule type="expression" dxfId="77" priority="982" stopIfTrue="1">
      <formula>IF(#REF!="Quá",1,0)</formula>
    </cfRule>
  </conditionalFormatting>
  <conditionalFormatting sqref="AV17:AV48 AJ17:AJ48">
    <cfRule type="expression" dxfId="36" priority="37" stopIfTrue="1">
      <formula>IF(AND(AP17=0,OR($AA$4-AJ17&gt;0,O$4-AJ17&lt;0)),1,0)</formula>
    </cfRule>
  </conditionalFormatting>
  <conditionalFormatting sqref="AA17:AA48">
    <cfRule type="cellIs" dxfId="35" priority="22" stopIfTrue="1" operator="between">
      <formula>"Đến $"</formula>
      <formula>"Đến $"</formula>
    </cfRule>
    <cfRule type="cellIs" dxfId="34" priority="23" stopIfTrue="1" operator="between">
      <formula>"Dừng $"</formula>
      <formula>"Dừng $"</formula>
    </cfRule>
  </conditionalFormatting>
  <conditionalFormatting sqref="AP17:AP48">
    <cfRule type="cellIs" dxfId="33" priority="35" stopIfTrue="1" operator="between">
      <formula>"%"</formula>
      <formula>"%"</formula>
    </cfRule>
    <cfRule type="expression" dxfId="32" priority="36" stopIfTrue="1">
      <formula>IF(AO17=AQ17,1,0)</formula>
    </cfRule>
  </conditionalFormatting>
  <conditionalFormatting sqref="O17:O48">
    <cfRule type="expression" dxfId="31" priority="34" stopIfTrue="1">
      <formula>IF(P17=0,1,0)</formula>
    </cfRule>
  </conditionalFormatting>
  <conditionalFormatting sqref="DN17:DN48">
    <cfRule type="expression" dxfId="30" priority="31" stopIfTrue="1">
      <formula>IF(FF17="Hưu",1,0)</formula>
    </cfRule>
    <cfRule type="expression" dxfId="29" priority="32" stopIfTrue="1">
      <formula>IF(FF17="Quá",1,0)</formula>
    </cfRule>
    <cfRule type="expression" dxfId="28" priority="33" stopIfTrue="1">
      <formula>IF(EN17="Lùi",1,0)</formula>
    </cfRule>
  </conditionalFormatting>
  <conditionalFormatting sqref="DU17:DU48">
    <cfRule type="expression" dxfId="27" priority="29" stopIfTrue="1">
      <formula>IF(FK17="Hưu",1,0)</formula>
    </cfRule>
    <cfRule type="expression" dxfId="26" priority="30" stopIfTrue="1">
      <formula>IF(FK17="Quá",1,0)</formula>
    </cfRule>
  </conditionalFormatting>
  <conditionalFormatting sqref="CU17:CU48">
    <cfRule type="cellIs" dxfId="25" priority="26" stopIfTrue="1" operator="between">
      <formula>"Hưu"</formula>
      <formula>"Hưu"</formula>
    </cfRule>
    <cfRule type="cellIs" dxfId="24" priority="27" stopIfTrue="1" operator="between">
      <formula>"---"</formula>
      <formula>"---"</formula>
    </cfRule>
    <cfRule type="cellIs" dxfId="23" priority="28" stopIfTrue="1" operator="between">
      <formula>"Quá"</formula>
      <formula>"Quá"</formula>
    </cfRule>
  </conditionalFormatting>
  <conditionalFormatting sqref="BE17:BE48">
    <cfRule type="expression" dxfId="22" priority="24" stopIfTrue="1">
      <formula>IF(BE17="Đến %",1,0)</formula>
    </cfRule>
    <cfRule type="expression" dxfId="21" priority="25" stopIfTrue="1">
      <formula>IF(BE17="Dừng %",1,0)</formula>
    </cfRule>
  </conditionalFormatting>
  <conditionalFormatting sqref="BW17:BW48">
    <cfRule type="cellIs" dxfId="20" priority="21" stopIfTrue="1" operator="between">
      <formula>0</formula>
      <formula>13</formula>
    </cfRule>
  </conditionalFormatting>
  <conditionalFormatting sqref="EC17:EC48">
    <cfRule type="expression" dxfId="19" priority="20" stopIfTrue="1">
      <formula>IF(EC17="Sửa",1,0)</formula>
    </cfRule>
  </conditionalFormatting>
  <conditionalFormatting sqref="N17:N48">
    <cfRule type="cellIs" dxfId="18" priority="19" stopIfTrue="1" operator="between">
      <formula>"Ko hạn"</formula>
      <formula>"Ko hạn"</formula>
    </cfRule>
  </conditionalFormatting>
  <conditionalFormatting sqref="Q17:Q48">
    <cfRule type="expression" dxfId="17" priority="18">
      <formula>IF(P17=0,1,0)</formula>
    </cfRule>
  </conditionalFormatting>
  <conditionalFormatting sqref="S17:S48">
    <cfRule type="expression" dxfId="16" priority="15">
      <formula>IF(S17="Cơ sở Học viện Hành chính Quốc gia tại Thành phố Hồ Chí Minh",1,0)</formula>
    </cfRule>
    <cfRule type="expression" dxfId="15" priority="16">
      <formula>IF(S17="Phân viện khu vực Tây Nguyên",1,0)</formula>
    </cfRule>
    <cfRule type="expression" dxfId="14" priority="17">
      <formula>IF(S17="Cơ sở Học viện Hành chính Quốc gia khu vực miền Trung",1,0)</formula>
    </cfRule>
  </conditionalFormatting>
  <conditionalFormatting sqref="BJ17:BJ48">
    <cfRule type="expression" dxfId="13" priority="14" stopIfTrue="1">
      <formula>IF(AND(BS17=0,OR($AA$4-BJ17&gt;BS17,$AA$4-BJ17&lt;BS17)),1,0)</formula>
    </cfRule>
  </conditionalFormatting>
  <conditionalFormatting sqref="E17:E48">
    <cfRule type="expression" dxfId="12" priority="12" stopIfTrue="1">
      <formula>IF(CV17="Hưu",1,0)</formula>
    </cfRule>
    <cfRule type="expression" dxfId="11" priority="13" stopIfTrue="1">
      <formula>IF(CV17="Quá",1,0)</formula>
    </cfRule>
  </conditionalFormatting>
  <conditionalFormatting sqref="AM17:AM48">
    <cfRule type="expression" dxfId="10" priority="11" stopIfTrue="1">
      <formula>IF(AND(BB17=0,AM17&gt;0),1,0)</formula>
    </cfRule>
  </conditionalFormatting>
  <conditionalFormatting sqref="BS17:BS48">
    <cfRule type="expression" dxfId="9" priority="10" stopIfTrue="1">
      <formula>IF(AND(BX17=0,OR($AA$4-BS17&gt;BX17,$AA$4-BS17&lt;BX17)),1,0)</formula>
    </cfRule>
  </conditionalFormatting>
  <conditionalFormatting sqref="C17:C48">
    <cfRule type="expression" dxfId="8" priority="7" stopIfTrue="1">
      <formula>IF(CX17="Hưu",1,0)</formula>
    </cfRule>
    <cfRule type="expression" dxfId="7" priority="8" stopIfTrue="1">
      <formula>IF(CX17="Quá",1,0)</formula>
    </cfRule>
    <cfRule type="expression" dxfId="6" priority="9" stopIfTrue="1">
      <formula>IF(BC17="Lùi",1,0)</formula>
    </cfRule>
  </conditionalFormatting>
  <conditionalFormatting sqref="A17:A48">
    <cfRule type="expression" dxfId="5" priority="4" stopIfTrue="1">
      <formula>IF(CV17="Hưu",1,0)</formula>
    </cfRule>
    <cfRule type="expression" dxfId="4" priority="5" stopIfTrue="1">
      <formula>IF(CV17="Quá",1,0)</formula>
    </cfRule>
    <cfRule type="expression" dxfId="3" priority="6" stopIfTrue="1">
      <formula>IF(AM17="Lùi",1,0)</formula>
    </cfRule>
  </conditionalFormatting>
  <conditionalFormatting sqref="B17:B48">
    <cfRule type="expression" dxfId="2" priority="1">
      <formula>IF(S17="Phân viện khu vực Tây Nguyên",1,0)</formula>
    </cfRule>
    <cfRule type="expression" dxfId="1" priority="2">
      <formula>IF(S17="Cơ sở Học viện Hành chính Quốc gia khu vực miền Trung",1,0)</formula>
    </cfRule>
    <cfRule type="expression" dxfId="0" priority="3">
      <formula>IF(S17="Cơ sở Học viện Hành chính Quốc gia tại Thành phố Hồ Chí Minh",1,0)</formula>
    </cfRule>
  </conditionalFormatting>
  <pageMargins left="0.51" right="0.31496062992126" top="0.43" bottom="0.39" header="0.15748031496063" footer="0.196850393700787"/>
  <pageSetup paperSize="9" orientation="landscape" r:id="rId1"/>
  <headerFooter alignWithMargins="0">
    <oddHeader>&amp;R&amp;"Arial,Bold"&amp;14&amp;UBIỂU 2 -TB</oddHead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$-TBao1</vt:lpstr>
      <vt:lpstr>%-TBao2</vt:lpstr>
      <vt:lpstr>'$-TBao1'!Print_Area</vt:lpstr>
      <vt:lpstr>'$-TBao1'!Print_Titles</vt:lpstr>
      <vt:lpstr>'%-TBao2'!Print_Titles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HVHC</dc:creator>
  <cp:lastModifiedBy>TRAN MINH TUAN</cp:lastModifiedBy>
  <cp:lastPrinted>2018-03-14T09:35:48Z</cp:lastPrinted>
  <dcterms:created xsi:type="dcterms:W3CDTF">1996-10-14T23:33:28Z</dcterms:created>
  <dcterms:modified xsi:type="dcterms:W3CDTF">2018-05-15T07:43:06Z</dcterms:modified>
</cp:coreProperties>
</file>